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Pfx Engagement\WM\WorkPapers\{9687DEA7-57B6-4DF9-9778-3FB6EC4AD535}\{EF63253A-33F1-403A-9A25-58826A2EAEAF}\"/>
    </mc:Choice>
  </mc:AlternateContent>
  <xr:revisionPtr revIDLastSave="0" documentId="13_ncr:1_{C601F8D3-CB3D-4362-A8A3-7D5FE0FA586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mployer Template" sheetId="25" r:id="rId1"/>
    <sheet name="PY_OPEB Amounts" sheetId="26" state="hidden" r:id="rId2"/>
    <sheet name="Contribution Allocation_Report" sheetId="8" state="hidden" r:id="rId3"/>
    <sheet name="Acerno_Cache_XXXXX" sheetId="24" state="veryHidden" r:id="rId4"/>
    <sheet name="OPEB Amounts_Report" sheetId="9" state="hidden" r:id="rId5"/>
    <sheet name="Amortization Tables_Report" sheetId="10" state="hidden" r:id="rId6"/>
    <sheet name="Discount Rate Sensitivity" sheetId="3" state="hidden" r:id="rId7"/>
    <sheet name="Trend Rate Sensitivity" sheetId="23" state="hidden" r:id="rId8"/>
    <sheet name="Change in Proportion Layers" sheetId="22" state="hidden" r:id="rId9"/>
    <sheet name="Change in Proportion Calc" sheetId="18" state="hidden" r:id="rId10"/>
    <sheet name="Contributions_20" sheetId="19" state="hidden" r:id="rId11"/>
    <sheet name="Note 3a" sheetId="12" state="hidden" r:id="rId12"/>
    <sheet name="Notes 3b" sheetId="15" state="hidden" r:id="rId13"/>
    <sheet name="Notes 3c" sheetId="16" state="hidden" r:id="rId14"/>
    <sheet name="Note 3d" sheetId="17" state="hidden" r:id="rId15"/>
    <sheet name="Note 5" sheetId="11" state="hidden" r:id="rId16"/>
    <sheet name="Note 5a" sheetId="13" state="hidden" r:id="rId17"/>
  </sheets>
  <definedNames>
    <definedName name="_xlnm._FilterDatabase" localSheetId="5" hidden="1">'Amortization Tables_Report'!$A$10:$X$321</definedName>
    <definedName name="_xlnm._FilterDatabase" localSheetId="9" hidden="1">'Change in Proportion Calc'!$A$4:$E$316</definedName>
    <definedName name="_xlnm._FilterDatabase" localSheetId="8" hidden="1">'Change in Proportion Layers'!$A$7:$B$319</definedName>
    <definedName name="_xlnm._FilterDatabase" localSheetId="2" hidden="1">'Contribution Allocation_Report'!$A$9:$D$308</definedName>
    <definedName name="_xlnm._FilterDatabase" localSheetId="10" hidden="1">Contributions_20!$E$9:$I$308</definedName>
    <definedName name="_xlnm._FilterDatabase" localSheetId="4" hidden="1">'OPEB Amounts_Report'!$A$7:$Q$321</definedName>
    <definedName name="_xlnm.Print_Area" localSheetId="5">'Amortization Tables_Report'!$A$1:$G$328</definedName>
    <definedName name="_xlnm.Print_Area" localSheetId="9">'Change in Proportion Calc'!$A$1:$Q$324</definedName>
    <definedName name="_xlnm.Print_Area" localSheetId="8">'Change in Proportion Layers'!$A$1:$AB$327</definedName>
    <definedName name="_xlnm.Print_Area" localSheetId="2">'Contribution Allocation_Report'!$A$1:$D$314</definedName>
    <definedName name="_xlnm.Print_Area" localSheetId="10">Contributions_20!$A$1:$D$313</definedName>
    <definedName name="_xlnm.Print_Area" localSheetId="6">'Discount Rate Sensitivity'!$A$1:$E$314</definedName>
    <definedName name="_xlnm.Print_Area" localSheetId="4">'OPEB Amounts_Report'!$A$1:$Q$326</definedName>
    <definedName name="_xlnm.Print_Area" localSheetId="7">'Trend Rate Sensitivity'!$A$1:$E$312</definedName>
    <definedName name="_xlnm.Print_Titles" localSheetId="5">'Amortization Tables_Report'!$1:$9</definedName>
    <definedName name="_xlnm.Print_Titles" localSheetId="2">'Contribution Allocation_Report'!$1:$8</definedName>
    <definedName name="_xlnm.Print_Titles" localSheetId="10">Contributions_20!$1:$8</definedName>
    <definedName name="_xlnm.Print_Titles" localSheetId="6">'Discount Rate Sensitivity'!$1:$7</definedName>
    <definedName name="_xlnm.Print_Titles" localSheetId="4">'OPEB Amounts_Report'!$1:$9</definedName>
    <definedName name="_xlnm.Print_Titles" localSheetId="7">'Trend Rate Sensitivity'!$1:$7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9" l="1"/>
  <c r="Q327" i="9"/>
  <c r="O327" i="9"/>
  <c r="N327" i="9"/>
  <c r="M327" i="9"/>
  <c r="L327" i="9"/>
  <c r="K327" i="9"/>
  <c r="J327" i="9"/>
  <c r="I327" i="9"/>
  <c r="E327" i="9"/>
  <c r="D327" i="9"/>
  <c r="E11" i="25"/>
  <c r="E141" i="25" s="1"/>
  <c r="E134" i="25"/>
  <c r="E137" i="25"/>
  <c r="E75" i="25"/>
  <c r="E8" i="23"/>
  <c r="C8" i="23"/>
  <c r="E43" i="25"/>
  <c r="E44" i="25" s="1"/>
  <c r="E20" i="25"/>
  <c r="E113" i="25" s="1"/>
  <c r="E118" i="25" s="1"/>
  <c r="F4" i="25"/>
  <c r="Y28" i="13"/>
  <c r="Z28" i="13" s="1"/>
  <c r="AA28" i="13" s="1"/>
  <c r="Y27" i="13"/>
  <c r="Z27" i="13" s="1"/>
  <c r="Y26" i="13"/>
  <c r="Y34" i="13"/>
  <c r="Z34" i="13" s="1"/>
  <c r="AA34" i="13" s="1"/>
  <c r="AB34" i="13" s="1"/>
  <c r="AC34" i="13" s="1"/>
  <c r="Y33" i="13"/>
  <c r="Z33" i="13" s="1"/>
  <c r="AA33" i="13" s="1"/>
  <c r="Y31" i="13"/>
  <c r="AB22" i="13"/>
  <c r="Y19" i="13"/>
  <c r="Y8" i="13"/>
  <c r="Z8" i="13" s="1"/>
  <c r="Y6" i="13"/>
  <c r="O10" i="9"/>
  <c r="I10" i="9"/>
  <c r="G321" i="18"/>
  <c r="P6" i="13"/>
  <c r="P33" i="13"/>
  <c r="N29" i="13"/>
  <c r="N36" i="13" s="1"/>
  <c r="P28" i="13"/>
  <c r="AE28" i="13" s="1"/>
  <c r="F12" i="11"/>
  <c r="D8" i="23"/>
  <c r="E309" i="23"/>
  <c r="D309" i="23"/>
  <c r="E308" i="23"/>
  <c r="D308" i="23"/>
  <c r="E307" i="23"/>
  <c r="D307" i="23"/>
  <c r="E306" i="23"/>
  <c r="D306" i="23"/>
  <c r="E305" i="23"/>
  <c r="D305" i="23"/>
  <c r="E304" i="23"/>
  <c r="D304" i="23"/>
  <c r="E303" i="23"/>
  <c r="D303" i="23"/>
  <c r="E302" i="23"/>
  <c r="D302" i="23"/>
  <c r="E301" i="23"/>
  <c r="D301" i="23"/>
  <c r="E300" i="23"/>
  <c r="D300" i="23"/>
  <c r="E299" i="23"/>
  <c r="D299" i="23"/>
  <c r="E298" i="23"/>
  <c r="D298" i="23"/>
  <c r="E297" i="23"/>
  <c r="D297" i="23"/>
  <c r="E296" i="23"/>
  <c r="D296" i="23"/>
  <c r="E295" i="23"/>
  <c r="D295" i="23"/>
  <c r="E294" i="23"/>
  <c r="D294" i="23"/>
  <c r="E293" i="23"/>
  <c r="D293" i="23"/>
  <c r="E292" i="23"/>
  <c r="D292" i="23"/>
  <c r="E291" i="23"/>
  <c r="D291" i="23"/>
  <c r="E290" i="23"/>
  <c r="D290" i="23"/>
  <c r="E289" i="23"/>
  <c r="D289" i="23"/>
  <c r="E288" i="23"/>
  <c r="D288" i="23"/>
  <c r="E287" i="23"/>
  <c r="D287" i="23"/>
  <c r="E286" i="23"/>
  <c r="D286" i="23"/>
  <c r="E285" i="23"/>
  <c r="D285" i="23"/>
  <c r="E284" i="23"/>
  <c r="D284" i="23"/>
  <c r="E283" i="23"/>
  <c r="D283" i="23"/>
  <c r="E282" i="23"/>
  <c r="D282" i="23"/>
  <c r="E281" i="23"/>
  <c r="D281" i="23"/>
  <c r="E280" i="23"/>
  <c r="D280" i="23"/>
  <c r="E279" i="23"/>
  <c r="D279" i="23"/>
  <c r="E278" i="23"/>
  <c r="D278" i="23"/>
  <c r="E277" i="23"/>
  <c r="D277" i="23"/>
  <c r="E276" i="23"/>
  <c r="D276" i="23"/>
  <c r="E275" i="23"/>
  <c r="D275" i="23"/>
  <c r="E274" i="23"/>
  <c r="D274" i="23"/>
  <c r="E273" i="23"/>
  <c r="D273" i="23"/>
  <c r="E272" i="23"/>
  <c r="D272" i="23"/>
  <c r="E271" i="23"/>
  <c r="D271" i="23"/>
  <c r="E270" i="23"/>
  <c r="D270" i="23"/>
  <c r="E269" i="23"/>
  <c r="D269" i="23"/>
  <c r="E268" i="23"/>
  <c r="D268" i="23"/>
  <c r="E267" i="23"/>
  <c r="D267" i="23"/>
  <c r="E266" i="23"/>
  <c r="D266" i="23"/>
  <c r="E265" i="23"/>
  <c r="D265" i="23"/>
  <c r="E264" i="23"/>
  <c r="D264" i="23"/>
  <c r="E263" i="23"/>
  <c r="D263" i="23"/>
  <c r="E262" i="23"/>
  <c r="D262" i="23"/>
  <c r="E261" i="23"/>
  <c r="D261" i="23"/>
  <c r="E260" i="23"/>
  <c r="D260" i="23"/>
  <c r="E259" i="23"/>
  <c r="D259" i="23"/>
  <c r="E258" i="23"/>
  <c r="D258" i="23"/>
  <c r="E257" i="23"/>
  <c r="D257" i="23"/>
  <c r="E256" i="23"/>
  <c r="D256" i="23"/>
  <c r="E255" i="23"/>
  <c r="D255" i="23"/>
  <c r="E254" i="23"/>
  <c r="D254" i="23"/>
  <c r="E253" i="23"/>
  <c r="D253" i="23"/>
  <c r="E252" i="23"/>
  <c r="D252" i="23"/>
  <c r="E251" i="23"/>
  <c r="D251" i="23"/>
  <c r="E250" i="23"/>
  <c r="D250" i="23"/>
  <c r="E249" i="23"/>
  <c r="D249" i="23"/>
  <c r="E248" i="23"/>
  <c r="D248" i="23"/>
  <c r="E247" i="23"/>
  <c r="D247" i="23"/>
  <c r="E246" i="23"/>
  <c r="D246" i="23"/>
  <c r="E245" i="23"/>
  <c r="D245" i="23"/>
  <c r="E244" i="23"/>
  <c r="D244" i="23"/>
  <c r="E243" i="23"/>
  <c r="D243" i="23"/>
  <c r="E242" i="23"/>
  <c r="D242" i="23"/>
  <c r="E241" i="23"/>
  <c r="D241" i="23"/>
  <c r="E240" i="23"/>
  <c r="D240" i="23"/>
  <c r="E239" i="23"/>
  <c r="D239" i="23"/>
  <c r="E238" i="23"/>
  <c r="D238" i="23"/>
  <c r="E237" i="23"/>
  <c r="D237" i="23"/>
  <c r="E236" i="23"/>
  <c r="D236" i="23"/>
  <c r="E235" i="23"/>
  <c r="D235" i="23"/>
  <c r="E234" i="23"/>
  <c r="D234" i="23"/>
  <c r="E233" i="23"/>
  <c r="D233" i="23"/>
  <c r="E232" i="23"/>
  <c r="D232" i="23"/>
  <c r="E231" i="23"/>
  <c r="D231" i="23"/>
  <c r="E230" i="23"/>
  <c r="D230" i="23"/>
  <c r="E229" i="23"/>
  <c r="D229" i="23"/>
  <c r="E228" i="23"/>
  <c r="D228" i="23"/>
  <c r="E227" i="23"/>
  <c r="D227" i="23"/>
  <c r="E226" i="23"/>
  <c r="D226" i="23"/>
  <c r="E225" i="23"/>
  <c r="D225" i="23"/>
  <c r="E224" i="23"/>
  <c r="D224" i="23"/>
  <c r="E223" i="23"/>
  <c r="D223" i="23"/>
  <c r="E222" i="23"/>
  <c r="D222" i="23"/>
  <c r="E221" i="23"/>
  <c r="D221" i="23"/>
  <c r="E220" i="23"/>
  <c r="D220" i="23"/>
  <c r="E219" i="23"/>
  <c r="D219" i="23"/>
  <c r="E218" i="23"/>
  <c r="D218" i="23"/>
  <c r="E217" i="23"/>
  <c r="D217" i="23"/>
  <c r="E216" i="23"/>
  <c r="D216" i="23"/>
  <c r="E215" i="23"/>
  <c r="D215" i="23"/>
  <c r="E214" i="23"/>
  <c r="D214" i="23"/>
  <c r="E213" i="23"/>
  <c r="D213" i="23"/>
  <c r="E212" i="23"/>
  <c r="D212" i="23"/>
  <c r="E211" i="23"/>
  <c r="D211" i="23"/>
  <c r="E210" i="23"/>
  <c r="D210" i="23"/>
  <c r="E209" i="23"/>
  <c r="D209" i="23"/>
  <c r="E208" i="23"/>
  <c r="D208" i="23"/>
  <c r="E207" i="23"/>
  <c r="D207" i="23"/>
  <c r="E206" i="23"/>
  <c r="D206" i="23"/>
  <c r="E205" i="23"/>
  <c r="D205" i="23"/>
  <c r="E204" i="23"/>
  <c r="D204" i="23"/>
  <c r="E203" i="23"/>
  <c r="D203" i="23"/>
  <c r="E202" i="23"/>
  <c r="D202" i="23"/>
  <c r="E201" i="23"/>
  <c r="D201" i="23"/>
  <c r="E200" i="23"/>
  <c r="D200" i="23"/>
  <c r="E199" i="23"/>
  <c r="D199" i="23"/>
  <c r="E198" i="23"/>
  <c r="D198" i="23"/>
  <c r="E197" i="23"/>
  <c r="D197" i="23"/>
  <c r="E196" i="23"/>
  <c r="D196" i="23"/>
  <c r="E195" i="23"/>
  <c r="D195" i="23"/>
  <c r="E194" i="23"/>
  <c r="D194" i="23"/>
  <c r="E193" i="23"/>
  <c r="D193" i="23"/>
  <c r="E192" i="23"/>
  <c r="D192" i="23"/>
  <c r="E191" i="23"/>
  <c r="D191" i="23"/>
  <c r="E190" i="23"/>
  <c r="D190" i="23"/>
  <c r="E189" i="23"/>
  <c r="D189" i="23"/>
  <c r="E188" i="23"/>
  <c r="D188" i="23"/>
  <c r="E187" i="23"/>
  <c r="D187" i="23"/>
  <c r="E186" i="23"/>
  <c r="D186" i="23"/>
  <c r="E185" i="23"/>
  <c r="D185" i="23"/>
  <c r="E184" i="23"/>
  <c r="D184" i="23"/>
  <c r="E183" i="23"/>
  <c r="D183" i="23"/>
  <c r="E182" i="23"/>
  <c r="D182" i="23"/>
  <c r="E181" i="23"/>
  <c r="D181" i="23"/>
  <c r="E180" i="23"/>
  <c r="D180" i="23"/>
  <c r="E179" i="23"/>
  <c r="D179" i="23"/>
  <c r="E178" i="23"/>
  <c r="D178" i="23"/>
  <c r="E177" i="23"/>
  <c r="D177" i="23"/>
  <c r="E176" i="23"/>
  <c r="D176" i="23"/>
  <c r="E175" i="23"/>
  <c r="D175" i="23"/>
  <c r="E174" i="23"/>
  <c r="D174" i="23"/>
  <c r="E173" i="23"/>
  <c r="D173" i="23"/>
  <c r="E172" i="23"/>
  <c r="D172" i="23"/>
  <c r="E171" i="23"/>
  <c r="D171" i="23"/>
  <c r="E170" i="23"/>
  <c r="D170" i="23"/>
  <c r="E169" i="23"/>
  <c r="D169" i="23"/>
  <c r="E168" i="23"/>
  <c r="D168" i="23"/>
  <c r="E167" i="23"/>
  <c r="D167" i="23"/>
  <c r="E166" i="23"/>
  <c r="D166" i="23"/>
  <c r="E165" i="23"/>
  <c r="D165" i="23"/>
  <c r="E164" i="23"/>
  <c r="D164" i="23"/>
  <c r="E163" i="23"/>
  <c r="D163" i="23"/>
  <c r="E162" i="23"/>
  <c r="D162" i="23"/>
  <c r="E161" i="23"/>
  <c r="D161" i="23"/>
  <c r="E160" i="23"/>
  <c r="D160" i="23"/>
  <c r="E159" i="23"/>
  <c r="D159" i="23"/>
  <c r="E158" i="23"/>
  <c r="D158" i="23"/>
  <c r="E157" i="23"/>
  <c r="D157" i="23"/>
  <c r="E156" i="23"/>
  <c r="D156" i="23"/>
  <c r="E155" i="23"/>
  <c r="D155" i="23"/>
  <c r="E154" i="23"/>
  <c r="D154" i="23"/>
  <c r="E153" i="23"/>
  <c r="D153" i="23"/>
  <c r="E152" i="23"/>
  <c r="D152" i="23"/>
  <c r="E151" i="23"/>
  <c r="D151" i="23"/>
  <c r="E150" i="23"/>
  <c r="D150" i="23"/>
  <c r="E149" i="23"/>
  <c r="D149" i="23"/>
  <c r="E148" i="23"/>
  <c r="D148" i="23"/>
  <c r="E147" i="23"/>
  <c r="D147" i="23"/>
  <c r="E146" i="23"/>
  <c r="D146" i="23"/>
  <c r="E145" i="23"/>
  <c r="D145" i="23"/>
  <c r="E144" i="23"/>
  <c r="D144" i="23"/>
  <c r="E143" i="23"/>
  <c r="D143" i="23"/>
  <c r="E142" i="23"/>
  <c r="D142" i="23"/>
  <c r="E141" i="23"/>
  <c r="D141" i="23"/>
  <c r="E140" i="23"/>
  <c r="D140" i="23"/>
  <c r="E139" i="23"/>
  <c r="D139" i="23"/>
  <c r="E138" i="23"/>
  <c r="D138" i="23"/>
  <c r="E137" i="23"/>
  <c r="D137" i="23"/>
  <c r="E136" i="23"/>
  <c r="D136" i="23"/>
  <c r="E135" i="23"/>
  <c r="D135" i="23"/>
  <c r="E134" i="23"/>
  <c r="D134" i="23"/>
  <c r="E133" i="23"/>
  <c r="D133" i="23"/>
  <c r="E132" i="23"/>
  <c r="D132" i="23"/>
  <c r="E131" i="23"/>
  <c r="D131" i="23"/>
  <c r="E130" i="23"/>
  <c r="D130" i="23"/>
  <c r="E129" i="23"/>
  <c r="D129" i="23"/>
  <c r="E128" i="23"/>
  <c r="D128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E115" i="23"/>
  <c r="D115" i="23"/>
  <c r="E114" i="23"/>
  <c r="D114" i="23"/>
  <c r="E113" i="23"/>
  <c r="D113" i="23"/>
  <c r="E112" i="23"/>
  <c r="D112" i="23"/>
  <c r="E111" i="23"/>
  <c r="D111" i="23"/>
  <c r="E110" i="23"/>
  <c r="D110" i="23"/>
  <c r="E109" i="23"/>
  <c r="D109" i="23"/>
  <c r="E108" i="23"/>
  <c r="D108" i="23"/>
  <c r="E107" i="23"/>
  <c r="D107" i="23"/>
  <c r="E106" i="23"/>
  <c r="D106" i="23"/>
  <c r="E105" i="23"/>
  <c r="D105" i="23"/>
  <c r="E104" i="23"/>
  <c r="D104" i="23"/>
  <c r="E103" i="23"/>
  <c r="D103" i="23"/>
  <c r="E102" i="23"/>
  <c r="D102" i="23"/>
  <c r="E101" i="23"/>
  <c r="D101" i="23"/>
  <c r="E100" i="23"/>
  <c r="D100" i="23"/>
  <c r="E99" i="23"/>
  <c r="D99" i="23"/>
  <c r="E98" i="23"/>
  <c r="D98" i="23"/>
  <c r="E97" i="23"/>
  <c r="D97" i="23"/>
  <c r="E96" i="23"/>
  <c r="D96" i="23"/>
  <c r="E95" i="23"/>
  <c r="D95" i="23"/>
  <c r="E94" i="23"/>
  <c r="D94" i="23"/>
  <c r="E93" i="23"/>
  <c r="D93" i="23"/>
  <c r="E92" i="23"/>
  <c r="D92" i="23"/>
  <c r="E91" i="23"/>
  <c r="D91" i="23"/>
  <c r="E90" i="23"/>
  <c r="D90" i="23"/>
  <c r="E89" i="23"/>
  <c r="D89" i="23"/>
  <c r="E88" i="23"/>
  <c r="D88" i="23"/>
  <c r="E87" i="23"/>
  <c r="D87" i="23"/>
  <c r="E86" i="23"/>
  <c r="D86" i="23"/>
  <c r="E85" i="23"/>
  <c r="D85" i="23"/>
  <c r="E84" i="23"/>
  <c r="D84" i="23"/>
  <c r="E83" i="23"/>
  <c r="D83" i="23"/>
  <c r="E82" i="23"/>
  <c r="D82" i="23"/>
  <c r="E81" i="23"/>
  <c r="D81" i="23"/>
  <c r="E80" i="23"/>
  <c r="D80" i="23"/>
  <c r="E79" i="23"/>
  <c r="D79" i="23"/>
  <c r="E78" i="23"/>
  <c r="D78" i="23"/>
  <c r="E77" i="23"/>
  <c r="D77" i="23"/>
  <c r="E76" i="23"/>
  <c r="D76" i="23"/>
  <c r="E75" i="23"/>
  <c r="D75" i="23"/>
  <c r="E74" i="23"/>
  <c r="D74" i="23"/>
  <c r="E73" i="23"/>
  <c r="D73" i="23"/>
  <c r="E72" i="23"/>
  <c r="D72" i="23"/>
  <c r="E71" i="23"/>
  <c r="D71" i="23"/>
  <c r="E70" i="23"/>
  <c r="D70" i="23"/>
  <c r="E69" i="23"/>
  <c r="D69" i="23"/>
  <c r="E68" i="23"/>
  <c r="D68" i="23"/>
  <c r="E67" i="23"/>
  <c r="D67" i="23"/>
  <c r="E66" i="23"/>
  <c r="D66" i="23"/>
  <c r="E65" i="23"/>
  <c r="D65" i="23"/>
  <c r="E64" i="23"/>
  <c r="D64" i="23"/>
  <c r="E63" i="23"/>
  <c r="D63" i="23"/>
  <c r="E62" i="23"/>
  <c r="D62" i="23"/>
  <c r="E61" i="23"/>
  <c r="D61" i="23"/>
  <c r="E60" i="23"/>
  <c r="D60" i="23"/>
  <c r="E59" i="23"/>
  <c r="D59" i="23"/>
  <c r="E58" i="23"/>
  <c r="D58" i="23"/>
  <c r="E57" i="23"/>
  <c r="D57" i="23"/>
  <c r="E56" i="23"/>
  <c r="D56" i="23"/>
  <c r="E55" i="23"/>
  <c r="D55" i="23"/>
  <c r="E54" i="23"/>
  <c r="D54" i="23"/>
  <c r="E53" i="23"/>
  <c r="D53" i="23"/>
  <c r="E52" i="23"/>
  <c r="D52" i="23"/>
  <c r="E51" i="23"/>
  <c r="D51" i="23"/>
  <c r="E50" i="23"/>
  <c r="D50" i="23"/>
  <c r="E49" i="23"/>
  <c r="D49" i="23"/>
  <c r="E48" i="23"/>
  <c r="D48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E35" i="23"/>
  <c r="D35" i="23"/>
  <c r="E34" i="23"/>
  <c r="D34" i="23"/>
  <c r="E33" i="23"/>
  <c r="D33" i="23"/>
  <c r="E32" i="23"/>
  <c r="D32" i="23"/>
  <c r="E31" i="23"/>
  <c r="D31" i="23"/>
  <c r="E30" i="23"/>
  <c r="D30" i="23"/>
  <c r="E29" i="23"/>
  <c r="D29" i="23"/>
  <c r="E28" i="23"/>
  <c r="D28" i="23"/>
  <c r="E27" i="23"/>
  <c r="D27" i="23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E60" i="25" s="1"/>
  <c r="D20" i="23"/>
  <c r="E59" i="25" s="1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C309" i="23"/>
  <c r="C308" i="23"/>
  <c r="C307" i="23"/>
  <c r="C306" i="23"/>
  <c r="C305" i="23"/>
  <c r="C304" i="23"/>
  <c r="C303" i="23"/>
  <c r="C302" i="23"/>
  <c r="C301" i="23"/>
  <c r="C300" i="23"/>
  <c r="C299" i="23"/>
  <c r="C298" i="23"/>
  <c r="C297" i="23"/>
  <c r="C296" i="23"/>
  <c r="C295" i="23"/>
  <c r="C294" i="23"/>
  <c r="C293" i="23"/>
  <c r="C292" i="23"/>
  <c r="C291" i="23"/>
  <c r="C290" i="23"/>
  <c r="C289" i="23"/>
  <c r="C288" i="23"/>
  <c r="C287" i="23"/>
  <c r="C286" i="23"/>
  <c r="C285" i="23"/>
  <c r="C284" i="23"/>
  <c r="C283" i="23"/>
  <c r="C282" i="23"/>
  <c r="C281" i="23"/>
  <c r="C280" i="23"/>
  <c r="C279" i="23"/>
  <c r="C278" i="23"/>
  <c r="C277" i="23"/>
  <c r="C276" i="23"/>
  <c r="C275" i="23"/>
  <c r="C274" i="23"/>
  <c r="C273" i="23"/>
  <c r="C272" i="23"/>
  <c r="C271" i="23"/>
  <c r="C270" i="23"/>
  <c r="C269" i="23"/>
  <c r="C268" i="23"/>
  <c r="C267" i="23"/>
  <c r="C266" i="23"/>
  <c r="C265" i="23"/>
  <c r="C264" i="23"/>
  <c r="C263" i="23"/>
  <c r="C262" i="23"/>
  <c r="C261" i="23"/>
  <c r="C260" i="23"/>
  <c r="C259" i="23"/>
  <c r="C258" i="23"/>
  <c r="C257" i="23"/>
  <c r="C256" i="23"/>
  <c r="C255" i="23"/>
  <c r="C254" i="23"/>
  <c r="C253" i="23"/>
  <c r="C252" i="23"/>
  <c r="C251" i="23"/>
  <c r="C250" i="23"/>
  <c r="C249" i="23"/>
  <c r="C248" i="23"/>
  <c r="C247" i="23"/>
  <c r="C246" i="23"/>
  <c r="C245" i="23"/>
  <c r="C244" i="23"/>
  <c r="C243" i="23"/>
  <c r="C242" i="23"/>
  <c r="C241" i="23"/>
  <c r="C240" i="23"/>
  <c r="C239" i="23"/>
  <c r="C238" i="23"/>
  <c r="C237" i="23"/>
  <c r="C236" i="23"/>
  <c r="C235" i="23"/>
  <c r="C234" i="23"/>
  <c r="C233" i="23"/>
  <c r="C232" i="23"/>
  <c r="C231" i="23"/>
  <c r="C230" i="23"/>
  <c r="C229" i="23"/>
  <c r="C228" i="23"/>
  <c r="C227" i="23"/>
  <c r="C226" i="23"/>
  <c r="C225" i="23"/>
  <c r="C224" i="23"/>
  <c r="C223" i="23"/>
  <c r="C222" i="23"/>
  <c r="C221" i="23"/>
  <c r="C220" i="23"/>
  <c r="C219" i="23"/>
  <c r="C218" i="23"/>
  <c r="C217" i="23"/>
  <c r="C216" i="23"/>
  <c r="C215" i="23"/>
  <c r="C214" i="23"/>
  <c r="C213" i="23"/>
  <c r="C212" i="23"/>
  <c r="C211" i="23"/>
  <c r="C210" i="23"/>
  <c r="C209" i="23"/>
  <c r="C208" i="23"/>
  <c r="C207" i="23"/>
  <c r="C206" i="23"/>
  <c r="C205" i="23"/>
  <c r="C204" i="23"/>
  <c r="C203" i="23"/>
  <c r="C202" i="23"/>
  <c r="C201" i="23"/>
  <c r="C200" i="23"/>
  <c r="C199" i="23"/>
  <c r="C198" i="23"/>
  <c r="C197" i="23"/>
  <c r="C196" i="23"/>
  <c r="C195" i="23"/>
  <c r="C194" i="23"/>
  <c r="C193" i="23"/>
  <c r="C192" i="23"/>
  <c r="C191" i="23"/>
  <c r="C190" i="23"/>
  <c r="C189" i="23"/>
  <c r="C188" i="23"/>
  <c r="C187" i="23"/>
  <c r="C186" i="23"/>
  <c r="C185" i="23"/>
  <c r="C184" i="23"/>
  <c r="C183" i="23"/>
  <c r="C182" i="23"/>
  <c r="C181" i="23"/>
  <c r="C180" i="23"/>
  <c r="C179" i="23"/>
  <c r="C178" i="23"/>
  <c r="C177" i="23"/>
  <c r="C176" i="23"/>
  <c r="C175" i="23"/>
  <c r="C174" i="23"/>
  <c r="C173" i="23"/>
  <c r="C172" i="23"/>
  <c r="C171" i="23"/>
  <c r="C170" i="23"/>
  <c r="C169" i="23"/>
  <c r="C168" i="23"/>
  <c r="C167" i="23"/>
  <c r="C166" i="23"/>
  <c r="C165" i="23"/>
  <c r="C164" i="23"/>
  <c r="C163" i="23"/>
  <c r="C162" i="23"/>
  <c r="C161" i="23"/>
  <c r="C160" i="23"/>
  <c r="C159" i="23"/>
  <c r="C158" i="23"/>
  <c r="C157" i="23"/>
  <c r="C156" i="23"/>
  <c r="C155" i="23"/>
  <c r="C154" i="23"/>
  <c r="C153" i="23"/>
  <c r="C152" i="23"/>
  <c r="C151" i="23"/>
  <c r="C150" i="23"/>
  <c r="C149" i="23"/>
  <c r="C148" i="23"/>
  <c r="C147" i="23"/>
  <c r="C146" i="23"/>
  <c r="C145" i="23"/>
  <c r="C144" i="23"/>
  <c r="C143" i="23"/>
  <c r="C142" i="23"/>
  <c r="C141" i="23"/>
  <c r="C140" i="23"/>
  <c r="C139" i="23"/>
  <c r="C138" i="23"/>
  <c r="C137" i="23"/>
  <c r="C136" i="23"/>
  <c r="C135" i="23"/>
  <c r="C134" i="23"/>
  <c r="C133" i="23"/>
  <c r="C132" i="23"/>
  <c r="C131" i="23"/>
  <c r="C130" i="23"/>
  <c r="C129" i="23"/>
  <c r="C128" i="23"/>
  <c r="C127" i="23"/>
  <c r="C126" i="23"/>
  <c r="C125" i="23"/>
  <c r="C124" i="23"/>
  <c r="C123" i="23"/>
  <c r="C122" i="23"/>
  <c r="C121" i="23"/>
  <c r="C120" i="23"/>
  <c r="C119" i="23"/>
  <c r="C118" i="23"/>
  <c r="C117" i="23"/>
  <c r="C116" i="23"/>
  <c r="C115" i="23"/>
  <c r="C114" i="23"/>
  <c r="C113" i="23"/>
  <c r="C112" i="23"/>
  <c r="C111" i="23"/>
  <c r="C110" i="23"/>
  <c r="C109" i="23"/>
  <c r="C108" i="23"/>
  <c r="C107" i="23"/>
  <c r="C106" i="23"/>
  <c r="C105" i="23"/>
  <c r="C104" i="23"/>
  <c r="C103" i="23"/>
  <c r="C102" i="23"/>
  <c r="C101" i="23"/>
  <c r="C100" i="23"/>
  <c r="C99" i="23"/>
  <c r="C98" i="23"/>
  <c r="C97" i="23"/>
  <c r="C96" i="23"/>
  <c r="C95" i="23"/>
  <c r="C94" i="23"/>
  <c r="C93" i="23"/>
  <c r="C92" i="23"/>
  <c r="C91" i="23"/>
  <c r="C90" i="23"/>
  <c r="C89" i="23"/>
  <c r="C88" i="23"/>
  <c r="C87" i="23"/>
  <c r="C86" i="23"/>
  <c r="C85" i="23"/>
  <c r="C84" i="23"/>
  <c r="C83" i="23"/>
  <c r="C82" i="23"/>
  <c r="C81" i="23"/>
  <c r="C80" i="23"/>
  <c r="C79" i="23"/>
  <c r="C78" i="23"/>
  <c r="C77" i="23"/>
  <c r="C76" i="23"/>
  <c r="C75" i="23"/>
  <c r="C74" i="23"/>
  <c r="C73" i="23"/>
  <c r="C72" i="23"/>
  <c r="C71" i="23"/>
  <c r="C70" i="23"/>
  <c r="C69" i="23"/>
  <c r="C68" i="23"/>
  <c r="C67" i="23"/>
  <c r="C66" i="23"/>
  <c r="C65" i="23"/>
  <c r="C64" i="23"/>
  <c r="C63" i="23"/>
  <c r="C62" i="23"/>
  <c r="C61" i="23"/>
  <c r="C60" i="23"/>
  <c r="C59" i="23"/>
  <c r="C58" i="23"/>
  <c r="C57" i="23"/>
  <c r="C56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E58" i="25" s="1"/>
  <c r="C19" i="23"/>
  <c r="C18" i="23"/>
  <c r="C17" i="23"/>
  <c r="C16" i="23"/>
  <c r="C15" i="23"/>
  <c r="C14" i="23"/>
  <c r="C13" i="23"/>
  <c r="C12" i="23"/>
  <c r="C11" i="23"/>
  <c r="C10" i="23"/>
  <c r="C9" i="23"/>
  <c r="C8" i="3"/>
  <c r="D8" i="3"/>
  <c r="E309" i="3"/>
  <c r="D309" i="3"/>
  <c r="C309" i="3"/>
  <c r="E308" i="3"/>
  <c r="D308" i="3"/>
  <c r="C308" i="3"/>
  <c r="E307" i="3"/>
  <c r="D307" i="3"/>
  <c r="C307" i="3"/>
  <c r="E306" i="3"/>
  <c r="D306" i="3"/>
  <c r="C306" i="3"/>
  <c r="E305" i="3"/>
  <c r="D305" i="3"/>
  <c r="C305" i="3"/>
  <c r="E304" i="3"/>
  <c r="D304" i="3"/>
  <c r="C304" i="3"/>
  <c r="E303" i="3"/>
  <c r="D303" i="3"/>
  <c r="C303" i="3"/>
  <c r="E302" i="3"/>
  <c r="D302" i="3"/>
  <c r="C302" i="3"/>
  <c r="E301" i="3"/>
  <c r="D301" i="3"/>
  <c r="C301" i="3"/>
  <c r="E300" i="3"/>
  <c r="D300" i="3"/>
  <c r="C300" i="3"/>
  <c r="E299" i="3"/>
  <c r="D299" i="3"/>
  <c r="C299" i="3"/>
  <c r="E298" i="3"/>
  <c r="D298" i="3"/>
  <c r="C298" i="3"/>
  <c r="E297" i="3"/>
  <c r="D297" i="3"/>
  <c r="C297" i="3"/>
  <c r="E296" i="3"/>
  <c r="D296" i="3"/>
  <c r="C296" i="3"/>
  <c r="E295" i="3"/>
  <c r="D295" i="3"/>
  <c r="C295" i="3"/>
  <c r="E294" i="3"/>
  <c r="D294" i="3"/>
  <c r="C294" i="3"/>
  <c r="E293" i="3"/>
  <c r="D293" i="3"/>
  <c r="C293" i="3"/>
  <c r="E292" i="3"/>
  <c r="D292" i="3"/>
  <c r="C292" i="3"/>
  <c r="E291" i="3"/>
  <c r="D291" i="3"/>
  <c r="C291" i="3"/>
  <c r="E290" i="3"/>
  <c r="D290" i="3"/>
  <c r="C290" i="3"/>
  <c r="E289" i="3"/>
  <c r="D289" i="3"/>
  <c r="C289" i="3"/>
  <c r="E288" i="3"/>
  <c r="D288" i="3"/>
  <c r="C288" i="3"/>
  <c r="E287" i="3"/>
  <c r="D287" i="3"/>
  <c r="C287" i="3"/>
  <c r="E286" i="3"/>
  <c r="D286" i="3"/>
  <c r="C286" i="3"/>
  <c r="E285" i="3"/>
  <c r="D285" i="3"/>
  <c r="C285" i="3"/>
  <c r="E284" i="3"/>
  <c r="D284" i="3"/>
  <c r="C284" i="3"/>
  <c r="E283" i="3"/>
  <c r="D283" i="3"/>
  <c r="C283" i="3"/>
  <c r="E282" i="3"/>
  <c r="D282" i="3"/>
  <c r="C282" i="3"/>
  <c r="E281" i="3"/>
  <c r="D281" i="3"/>
  <c r="C281" i="3"/>
  <c r="E280" i="3"/>
  <c r="D280" i="3"/>
  <c r="C280" i="3"/>
  <c r="E279" i="3"/>
  <c r="D279" i="3"/>
  <c r="C279" i="3"/>
  <c r="E278" i="3"/>
  <c r="D278" i="3"/>
  <c r="C278" i="3"/>
  <c r="E277" i="3"/>
  <c r="D277" i="3"/>
  <c r="C277" i="3"/>
  <c r="E276" i="3"/>
  <c r="D276" i="3"/>
  <c r="C276" i="3"/>
  <c r="E275" i="3"/>
  <c r="D275" i="3"/>
  <c r="C275" i="3"/>
  <c r="E274" i="3"/>
  <c r="D274" i="3"/>
  <c r="C274" i="3"/>
  <c r="E273" i="3"/>
  <c r="D273" i="3"/>
  <c r="C273" i="3"/>
  <c r="E272" i="3"/>
  <c r="D272" i="3"/>
  <c r="C272" i="3"/>
  <c r="E271" i="3"/>
  <c r="D271" i="3"/>
  <c r="C271" i="3"/>
  <c r="E270" i="3"/>
  <c r="D270" i="3"/>
  <c r="C270" i="3"/>
  <c r="E269" i="3"/>
  <c r="D269" i="3"/>
  <c r="C269" i="3"/>
  <c r="E268" i="3"/>
  <c r="D268" i="3"/>
  <c r="C268" i="3"/>
  <c r="E267" i="3"/>
  <c r="D267" i="3"/>
  <c r="C267" i="3"/>
  <c r="E266" i="3"/>
  <c r="D266" i="3"/>
  <c r="C266" i="3"/>
  <c r="E265" i="3"/>
  <c r="D265" i="3"/>
  <c r="C265" i="3"/>
  <c r="E264" i="3"/>
  <c r="D264" i="3"/>
  <c r="C264" i="3"/>
  <c r="E263" i="3"/>
  <c r="D263" i="3"/>
  <c r="C263" i="3"/>
  <c r="E262" i="3"/>
  <c r="D262" i="3"/>
  <c r="C262" i="3"/>
  <c r="E261" i="3"/>
  <c r="D261" i="3"/>
  <c r="C261" i="3"/>
  <c r="E260" i="3"/>
  <c r="D260" i="3"/>
  <c r="C260" i="3"/>
  <c r="E259" i="3"/>
  <c r="D259" i="3"/>
  <c r="C259" i="3"/>
  <c r="E258" i="3"/>
  <c r="D258" i="3"/>
  <c r="C258" i="3"/>
  <c r="E257" i="3"/>
  <c r="D257" i="3"/>
  <c r="C257" i="3"/>
  <c r="E256" i="3"/>
  <c r="D256" i="3"/>
  <c r="C256" i="3"/>
  <c r="E255" i="3"/>
  <c r="D255" i="3"/>
  <c r="C255" i="3"/>
  <c r="E254" i="3"/>
  <c r="D254" i="3"/>
  <c r="C254" i="3"/>
  <c r="E253" i="3"/>
  <c r="D253" i="3"/>
  <c r="C253" i="3"/>
  <c r="E252" i="3"/>
  <c r="D252" i="3"/>
  <c r="C252" i="3"/>
  <c r="E251" i="3"/>
  <c r="D251" i="3"/>
  <c r="C251" i="3"/>
  <c r="E250" i="3"/>
  <c r="D250" i="3"/>
  <c r="C250" i="3"/>
  <c r="E249" i="3"/>
  <c r="D249" i="3"/>
  <c r="C249" i="3"/>
  <c r="E248" i="3"/>
  <c r="D248" i="3"/>
  <c r="C248" i="3"/>
  <c r="E247" i="3"/>
  <c r="D247" i="3"/>
  <c r="C247" i="3"/>
  <c r="E246" i="3"/>
  <c r="D246" i="3"/>
  <c r="C246" i="3"/>
  <c r="E245" i="3"/>
  <c r="D245" i="3"/>
  <c r="C245" i="3"/>
  <c r="E244" i="3"/>
  <c r="D244" i="3"/>
  <c r="C244" i="3"/>
  <c r="E243" i="3"/>
  <c r="D243" i="3"/>
  <c r="C243" i="3"/>
  <c r="E242" i="3"/>
  <c r="D242" i="3"/>
  <c r="C242" i="3"/>
  <c r="E241" i="3"/>
  <c r="D241" i="3"/>
  <c r="C241" i="3"/>
  <c r="E240" i="3"/>
  <c r="D240" i="3"/>
  <c r="C240" i="3"/>
  <c r="E239" i="3"/>
  <c r="D239" i="3"/>
  <c r="C239" i="3"/>
  <c r="E238" i="3"/>
  <c r="D238" i="3"/>
  <c r="C238" i="3"/>
  <c r="E237" i="3"/>
  <c r="D237" i="3"/>
  <c r="C237" i="3"/>
  <c r="E236" i="3"/>
  <c r="D236" i="3"/>
  <c r="C236" i="3"/>
  <c r="E235" i="3"/>
  <c r="D235" i="3"/>
  <c r="C235" i="3"/>
  <c r="E234" i="3"/>
  <c r="D234" i="3"/>
  <c r="C234" i="3"/>
  <c r="E233" i="3"/>
  <c r="D233" i="3"/>
  <c r="C233" i="3"/>
  <c r="E232" i="3"/>
  <c r="D232" i="3"/>
  <c r="C232" i="3"/>
  <c r="E231" i="3"/>
  <c r="D231" i="3"/>
  <c r="C231" i="3"/>
  <c r="E230" i="3"/>
  <c r="D230" i="3"/>
  <c r="C230" i="3"/>
  <c r="E229" i="3"/>
  <c r="D229" i="3"/>
  <c r="C229" i="3"/>
  <c r="E228" i="3"/>
  <c r="D228" i="3"/>
  <c r="C228" i="3"/>
  <c r="E227" i="3"/>
  <c r="D227" i="3"/>
  <c r="C227" i="3"/>
  <c r="E226" i="3"/>
  <c r="D226" i="3"/>
  <c r="C226" i="3"/>
  <c r="E225" i="3"/>
  <c r="D225" i="3"/>
  <c r="C225" i="3"/>
  <c r="E224" i="3"/>
  <c r="D224" i="3"/>
  <c r="C224" i="3"/>
  <c r="E223" i="3"/>
  <c r="D223" i="3"/>
  <c r="C223" i="3"/>
  <c r="E222" i="3"/>
  <c r="D222" i="3"/>
  <c r="C222" i="3"/>
  <c r="E221" i="3"/>
  <c r="D221" i="3"/>
  <c r="C221" i="3"/>
  <c r="E220" i="3"/>
  <c r="D220" i="3"/>
  <c r="C220" i="3"/>
  <c r="E219" i="3"/>
  <c r="D219" i="3"/>
  <c r="C219" i="3"/>
  <c r="E218" i="3"/>
  <c r="D218" i="3"/>
  <c r="C218" i="3"/>
  <c r="E217" i="3"/>
  <c r="D217" i="3"/>
  <c r="C217" i="3"/>
  <c r="E216" i="3"/>
  <c r="D216" i="3"/>
  <c r="C216" i="3"/>
  <c r="E215" i="3"/>
  <c r="D215" i="3"/>
  <c r="C215" i="3"/>
  <c r="E214" i="3"/>
  <c r="D214" i="3"/>
  <c r="C214" i="3"/>
  <c r="E213" i="3"/>
  <c r="D213" i="3"/>
  <c r="C213" i="3"/>
  <c r="E212" i="3"/>
  <c r="D212" i="3"/>
  <c r="C212" i="3"/>
  <c r="E211" i="3"/>
  <c r="D211" i="3"/>
  <c r="C211" i="3"/>
  <c r="E210" i="3"/>
  <c r="D210" i="3"/>
  <c r="C210" i="3"/>
  <c r="E209" i="3"/>
  <c r="D209" i="3"/>
  <c r="C209" i="3"/>
  <c r="E208" i="3"/>
  <c r="D208" i="3"/>
  <c r="C208" i="3"/>
  <c r="E207" i="3"/>
  <c r="D207" i="3"/>
  <c r="C207" i="3"/>
  <c r="E206" i="3"/>
  <c r="D206" i="3"/>
  <c r="C206" i="3"/>
  <c r="E205" i="3"/>
  <c r="D205" i="3"/>
  <c r="C205" i="3"/>
  <c r="E204" i="3"/>
  <c r="D204" i="3"/>
  <c r="C204" i="3"/>
  <c r="E203" i="3"/>
  <c r="D203" i="3"/>
  <c r="C203" i="3"/>
  <c r="E202" i="3"/>
  <c r="D202" i="3"/>
  <c r="C202" i="3"/>
  <c r="E201" i="3"/>
  <c r="D201" i="3"/>
  <c r="C201" i="3"/>
  <c r="E200" i="3"/>
  <c r="D200" i="3"/>
  <c r="C200" i="3"/>
  <c r="E199" i="3"/>
  <c r="D199" i="3"/>
  <c r="C199" i="3"/>
  <c r="E198" i="3"/>
  <c r="D198" i="3"/>
  <c r="C198" i="3"/>
  <c r="E197" i="3"/>
  <c r="D197" i="3"/>
  <c r="C197" i="3"/>
  <c r="E196" i="3"/>
  <c r="D196" i="3"/>
  <c r="C196" i="3"/>
  <c r="E195" i="3"/>
  <c r="D195" i="3"/>
  <c r="C195" i="3"/>
  <c r="E194" i="3"/>
  <c r="D194" i="3"/>
  <c r="C194" i="3"/>
  <c r="E193" i="3"/>
  <c r="D193" i="3"/>
  <c r="C193" i="3"/>
  <c r="E192" i="3"/>
  <c r="D192" i="3"/>
  <c r="C192" i="3"/>
  <c r="E191" i="3"/>
  <c r="D191" i="3"/>
  <c r="C191" i="3"/>
  <c r="E190" i="3"/>
  <c r="D190" i="3"/>
  <c r="C190" i="3"/>
  <c r="E189" i="3"/>
  <c r="D189" i="3"/>
  <c r="C189" i="3"/>
  <c r="E188" i="3"/>
  <c r="D188" i="3"/>
  <c r="C188" i="3"/>
  <c r="E187" i="3"/>
  <c r="D187" i="3"/>
  <c r="C187" i="3"/>
  <c r="E186" i="3"/>
  <c r="D186" i="3"/>
  <c r="C186" i="3"/>
  <c r="E185" i="3"/>
  <c r="D185" i="3"/>
  <c r="C185" i="3"/>
  <c r="E184" i="3"/>
  <c r="D184" i="3"/>
  <c r="C184" i="3"/>
  <c r="E183" i="3"/>
  <c r="D183" i="3"/>
  <c r="C183" i="3"/>
  <c r="E182" i="3"/>
  <c r="D182" i="3"/>
  <c r="C182" i="3"/>
  <c r="E181" i="3"/>
  <c r="D181" i="3"/>
  <c r="C181" i="3"/>
  <c r="E180" i="3"/>
  <c r="D180" i="3"/>
  <c r="C180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D173" i="3"/>
  <c r="C173" i="3"/>
  <c r="E172" i="3"/>
  <c r="D172" i="3"/>
  <c r="C172" i="3"/>
  <c r="E171" i="3"/>
  <c r="D171" i="3"/>
  <c r="C171" i="3"/>
  <c r="E170" i="3"/>
  <c r="D170" i="3"/>
  <c r="C170" i="3"/>
  <c r="E169" i="3"/>
  <c r="D169" i="3"/>
  <c r="C169" i="3"/>
  <c r="E168" i="3"/>
  <c r="D168" i="3"/>
  <c r="C168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D160" i="3"/>
  <c r="C160" i="3"/>
  <c r="E159" i="3"/>
  <c r="D159" i="3"/>
  <c r="C159" i="3"/>
  <c r="E158" i="3"/>
  <c r="D158" i="3"/>
  <c r="C158" i="3"/>
  <c r="E157" i="3"/>
  <c r="D157" i="3"/>
  <c r="C157" i="3"/>
  <c r="E156" i="3"/>
  <c r="D156" i="3"/>
  <c r="C156" i="3"/>
  <c r="E155" i="3"/>
  <c r="D155" i="3"/>
  <c r="C155" i="3"/>
  <c r="E154" i="3"/>
  <c r="D154" i="3"/>
  <c r="C154" i="3"/>
  <c r="E153" i="3"/>
  <c r="D153" i="3"/>
  <c r="C153" i="3"/>
  <c r="E152" i="3"/>
  <c r="D152" i="3"/>
  <c r="C152" i="3"/>
  <c r="E151" i="3"/>
  <c r="D151" i="3"/>
  <c r="C151" i="3"/>
  <c r="E150" i="3"/>
  <c r="D150" i="3"/>
  <c r="C150" i="3"/>
  <c r="E149" i="3"/>
  <c r="D149" i="3"/>
  <c r="C149" i="3"/>
  <c r="E148" i="3"/>
  <c r="D148" i="3"/>
  <c r="C148" i="3"/>
  <c r="E147" i="3"/>
  <c r="D147" i="3"/>
  <c r="C147" i="3"/>
  <c r="E146" i="3"/>
  <c r="D146" i="3"/>
  <c r="C146" i="3"/>
  <c r="E145" i="3"/>
  <c r="D145" i="3"/>
  <c r="C145" i="3"/>
  <c r="E144" i="3"/>
  <c r="D144" i="3"/>
  <c r="C144" i="3"/>
  <c r="E143" i="3"/>
  <c r="D143" i="3"/>
  <c r="C143" i="3"/>
  <c r="E142" i="3"/>
  <c r="D142" i="3"/>
  <c r="C142" i="3"/>
  <c r="E141" i="3"/>
  <c r="D141" i="3"/>
  <c r="C141" i="3"/>
  <c r="E140" i="3"/>
  <c r="D140" i="3"/>
  <c r="C140" i="3"/>
  <c r="E139" i="3"/>
  <c r="D139" i="3"/>
  <c r="C139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E125" i="3"/>
  <c r="D125" i="3"/>
  <c r="C125" i="3"/>
  <c r="E124" i="3"/>
  <c r="D124" i="3"/>
  <c r="C124" i="3"/>
  <c r="E123" i="3"/>
  <c r="D123" i="3"/>
  <c r="C123" i="3"/>
  <c r="E122" i="3"/>
  <c r="D122" i="3"/>
  <c r="C122" i="3"/>
  <c r="E121" i="3"/>
  <c r="D121" i="3"/>
  <c r="C121" i="3"/>
  <c r="E120" i="3"/>
  <c r="D120" i="3"/>
  <c r="C120" i="3"/>
  <c r="E119" i="3"/>
  <c r="D119" i="3"/>
  <c r="C119" i="3"/>
  <c r="E118" i="3"/>
  <c r="D118" i="3"/>
  <c r="C118" i="3"/>
  <c r="E117" i="3"/>
  <c r="D117" i="3"/>
  <c r="C117" i="3"/>
  <c r="E116" i="3"/>
  <c r="D116" i="3"/>
  <c r="C116" i="3"/>
  <c r="E115" i="3"/>
  <c r="D115" i="3"/>
  <c r="C115" i="3"/>
  <c r="E114" i="3"/>
  <c r="D114" i="3"/>
  <c r="C114" i="3"/>
  <c r="E113" i="3"/>
  <c r="D113" i="3"/>
  <c r="C113" i="3"/>
  <c r="E112" i="3"/>
  <c r="D112" i="3"/>
  <c r="C112" i="3"/>
  <c r="E111" i="3"/>
  <c r="D111" i="3"/>
  <c r="C111" i="3"/>
  <c r="E110" i="3"/>
  <c r="D110" i="3"/>
  <c r="C110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66" i="3"/>
  <c r="D66" i="3"/>
  <c r="C66" i="3"/>
  <c r="E65" i="3"/>
  <c r="D65" i="3"/>
  <c r="C65" i="3"/>
  <c r="E64" i="3"/>
  <c r="D64" i="3"/>
  <c r="C64" i="3"/>
  <c r="E63" i="3"/>
  <c r="D63" i="3"/>
  <c r="C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E54" i="3"/>
  <c r="D54" i="3"/>
  <c r="C54" i="3"/>
  <c r="E53" i="3"/>
  <c r="D53" i="3"/>
  <c r="C53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E54" i="25" s="1"/>
  <c r="D20" i="3"/>
  <c r="E53" i="25" s="1"/>
  <c r="C20" i="3"/>
  <c r="E52" i="25" s="1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U321" i="10"/>
  <c r="G321" i="10" s="1"/>
  <c r="U320" i="10"/>
  <c r="G320" i="10" s="1"/>
  <c r="U319" i="10"/>
  <c r="G319" i="10" s="1"/>
  <c r="U318" i="10"/>
  <c r="G318" i="10" s="1"/>
  <c r="U317" i="10"/>
  <c r="G317" i="10" s="1"/>
  <c r="U316" i="10"/>
  <c r="G316" i="10" s="1"/>
  <c r="U315" i="10"/>
  <c r="U314" i="10"/>
  <c r="G314" i="10" s="1"/>
  <c r="U313" i="10"/>
  <c r="T321" i="10"/>
  <c r="F321" i="10" s="1"/>
  <c r="T320" i="10"/>
  <c r="F320" i="10" s="1"/>
  <c r="T319" i="10"/>
  <c r="F319" i="10" s="1"/>
  <c r="T318" i="10"/>
  <c r="F318" i="10" s="1"/>
  <c r="T317" i="10"/>
  <c r="F317" i="10" s="1"/>
  <c r="T316" i="10"/>
  <c r="F316" i="10" s="1"/>
  <c r="T315" i="10"/>
  <c r="F315" i="10" s="1"/>
  <c r="T314" i="10"/>
  <c r="F314" i="10" s="1"/>
  <c r="T313" i="10"/>
  <c r="F313" i="10" s="1"/>
  <c r="S321" i="10"/>
  <c r="E321" i="10" s="1"/>
  <c r="S320" i="10"/>
  <c r="E320" i="10" s="1"/>
  <c r="S319" i="10"/>
  <c r="E319" i="10" s="1"/>
  <c r="S318" i="10"/>
  <c r="S317" i="10"/>
  <c r="E317" i="10" s="1"/>
  <c r="S316" i="10"/>
  <c r="E316" i="10" s="1"/>
  <c r="S315" i="10"/>
  <c r="E315" i="10" s="1"/>
  <c r="S314" i="10"/>
  <c r="E314" i="10" s="1"/>
  <c r="S313" i="10"/>
  <c r="E313" i="10" s="1"/>
  <c r="R313" i="10"/>
  <c r="D313" i="10" s="1"/>
  <c r="R314" i="10"/>
  <c r="D314" i="10" s="1"/>
  <c r="R315" i="10"/>
  <c r="D315" i="10" s="1"/>
  <c r="R316" i="10"/>
  <c r="D316" i="10" s="1"/>
  <c r="R317" i="10"/>
  <c r="D317" i="10" s="1"/>
  <c r="R318" i="10"/>
  <c r="D318" i="10" s="1"/>
  <c r="R319" i="10"/>
  <c r="D319" i="10" s="1"/>
  <c r="R320" i="10"/>
  <c r="D320" i="10" s="1"/>
  <c r="R321" i="10"/>
  <c r="D321" i="10" s="1"/>
  <c r="K308" i="10"/>
  <c r="Q313" i="10"/>
  <c r="C313" i="10" s="1"/>
  <c r="Q314" i="10"/>
  <c r="C314" i="10" s="1"/>
  <c r="Q315" i="10"/>
  <c r="C315" i="10" s="1"/>
  <c r="Q316" i="10"/>
  <c r="C316" i="10" s="1"/>
  <c r="Q317" i="10"/>
  <c r="C317" i="10" s="1"/>
  <c r="Q318" i="10"/>
  <c r="C318" i="10" s="1"/>
  <c r="Q319" i="10"/>
  <c r="C319" i="10" s="1"/>
  <c r="Q320" i="10"/>
  <c r="C320" i="10" s="1"/>
  <c r="Q321" i="10"/>
  <c r="C321" i="10" s="1"/>
  <c r="O311" i="10"/>
  <c r="O310" i="10"/>
  <c r="O309" i="10"/>
  <c r="O308" i="10"/>
  <c r="O307" i="10"/>
  <c r="O306" i="10"/>
  <c r="O305" i="10"/>
  <c r="O304" i="10"/>
  <c r="O303" i="10"/>
  <c r="O302" i="10"/>
  <c r="O301" i="10"/>
  <c r="O300" i="10"/>
  <c r="O299" i="10"/>
  <c r="O298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N311" i="10"/>
  <c r="N310" i="10"/>
  <c r="N309" i="10"/>
  <c r="N308" i="10"/>
  <c r="N307" i="10"/>
  <c r="N306" i="10"/>
  <c r="N305" i="10"/>
  <c r="N304" i="10"/>
  <c r="N303" i="10"/>
  <c r="N302" i="10"/>
  <c r="N301" i="10"/>
  <c r="N300" i="10"/>
  <c r="N299" i="10"/>
  <c r="N298" i="10"/>
  <c r="N297" i="10"/>
  <c r="N296" i="10"/>
  <c r="N295" i="10"/>
  <c r="N294" i="10"/>
  <c r="N293" i="10"/>
  <c r="N292" i="10"/>
  <c r="N291" i="10"/>
  <c r="N290" i="10"/>
  <c r="N289" i="10"/>
  <c r="N288" i="10"/>
  <c r="N287" i="10"/>
  <c r="N286" i="10"/>
  <c r="N285" i="10"/>
  <c r="N284" i="10"/>
  <c r="N283" i="10"/>
  <c r="N282" i="10"/>
  <c r="N281" i="10"/>
  <c r="N280" i="10"/>
  <c r="N279" i="10"/>
  <c r="N278" i="10"/>
  <c r="N277" i="10"/>
  <c r="N276" i="10"/>
  <c r="N275" i="10"/>
  <c r="N274" i="10"/>
  <c r="N273" i="10"/>
  <c r="N272" i="10"/>
  <c r="N271" i="10"/>
  <c r="N270" i="10"/>
  <c r="N269" i="10"/>
  <c r="N268" i="10"/>
  <c r="N267" i="10"/>
  <c r="N266" i="10"/>
  <c r="N265" i="10"/>
  <c r="N264" i="10"/>
  <c r="N263" i="10"/>
  <c r="N262" i="10"/>
  <c r="N261" i="10"/>
  <c r="N260" i="10"/>
  <c r="N259" i="10"/>
  <c r="N258" i="10"/>
  <c r="N257" i="10"/>
  <c r="N256" i="10"/>
  <c r="N255" i="10"/>
  <c r="N254" i="10"/>
  <c r="N253" i="10"/>
  <c r="N252" i="10"/>
  <c r="N251" i="10"/>
  <c r="N250" i="10"/>
  <c r="N249" i="10"/>
  <c r="N248" i="10"/>
  <c r="N247" i="10"/>
  <c r="N246" i="10"/>
  <c r="N245" i="10"/>
  <c r="N244" i="10"/>
  <c r="N243" i="10"/>
  <c r="N242" i="10"/>
  <c r="N241" i="10"/>
  <c r="N240" i="10"/>
  <c r="N239" i="10"/>
  <c r="N238" i="10"/>
  <c r="N237" i="10"/>
  <c r="N236" i="10"/>
  <c r="N235" i="10"/>
  <c r="N234" i="10"/>
  <c r="N233" i="10"/>
  <c r="N232" i="10"/>
  <c r="N231" i="10"/>
  <c r="N230" i="10"/>
  <c r="N229" i="10"/>
  <c r="N228" i="10"/>
  <c r="N227" i="10"/>
  <c r="N226" i="10"/>
  <c r="N225" i="10"/>
  <c r="N224" i="10"/>
  <c r="N223" i="10"/>
  <c r="N222" i="10"/>
  <c r="N221" i="10"/>
  <c r="N220" i="10"/>
  <c r="N219" i="10"/>
  <c r="N218" i="10"/>
  <c r="N217" i="10"/>
  <c r="N216" i="10"/>
  <c r="N215" i="10"/>
  <c r="N214" i="10"/>
  <c r="N213" i="10"/>
  <c r="N212" i="10"/>
  <c r="N211" i="10"/>
  <c r="N210" i="10"/>
  <c r="N209" i="10"/>
  <c r="N208" i="10"/>
  <c r="N207" i="10"/>
  <c r="N206" i="10"/>
  <c r="N205" i="10"/>
  <c r="N204" i="10"/>
  <c r="N203" i="10"/>
  <c r="N202" i="10"/>
  <c r="N201" i="10"/>
  <c r="N200" i="10"/>
  <c r="N199" i="10"/>
  <c r="N198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5" i="10"/>
  <c r="N184" i="10"/>
  <c r="N183" i="10"/>
  <c r="N182" i="10"/>
  <c r="N181" i="10"/>
  <c r="N180" i="10"/>
  <c r="N179" i="10"/>
  <c r="N178" i="10"/>
  <c r="N177" i="10"/>
  <c r="N176" i="10"/>
  <c r="N175" i="10"/>
  <c r="N174" i="10"/>
  <c r="N173" i="10"/>
  <c r="N172" i="10"/>
  <c r="N171" i="10"/>
  <c r="N170" i="10"/>
  <c r="N169" i="10"/>
  <c r="N168" i="10"/>
  <c r="N167" i="10"/>
  <c r="N166" i="10"/>
  <c r="N165" i="10"/>
  <c r="N164" i="10"/>
  <c r="N163" i="10"/>
  <c r="N162" i="10"/>
  <c r="N161" i="10"/>
  <c r="N160" i="10"/>
  <c r="N159" i="10"/>
  <c r="N158" i="10"/>
  <c r="N157" i="10"/>
  <c r="N156" i="10"/>
  <c r="N155" i="10"/>
  <c r="N154" i="10"/>
  <c r="N153" i="10"/>
  <c r="N152" i="10"/>
  <c r="N151" i="10"/>
  <c r="N150" i="10"/>
  <c r="N149" i="10"/>
  <c r="N148" i="10"/>
  <c r="N147" i="10"/>
  <c r="N146" i="10"/>
  <c r="N145" i="10"/>
  <c r="N144" i="10"/>
  <c r="N143" i="10"/>
  <c r="N142" i="10"/>
  <c r="N141" i="10"/>
  <c r="N140" i="10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M311" i="10"/>
  <c r="M310" i="10"/>
  <c r="M309" i="10"/>
  <c r="M308" i="10"/>
  <c r="M307" i="10"/>
  <c r="M306" i="10"/>
  <c r="M305" i="10"/>
  <c r="M304" i="10"/>
  <c r="M303" i="10"/>
  <c r="M302" i="10"/>
  <c r="M301" i="10"/>
  <c r="M300" i="10"/>
  <c r="M299" i="10"/>
  <c r="M298" i="10"/>
  <c r="M297" i="10"/>
  <c r="M296" i="10"/>
  <c r="M295" i="10"/>
  <c r="M294" i="10"/>
  <c r="M293" i="10"/>
  <c r="M292" i="10"/>
  <c r="M291" i="10"/>
  <c r="M290" i="10"/>
  <c r="M289" i="10"/>
  <c r="M288" i="10"/>
  <c r="M287" i="10"/>
  <c r="M286" i="10"/>
  <c r="M285" i="10"/>
  <c r="M284" i="10"/>
  <c r="M283" i="10"/>
  <c r="M282" i="10"/>
  <c r="M281" i="10"/>
  <c r="M280" i="10"/>
  <c r="M279" i="10"/>
  <c r="M278" i="10"/>
  <c r="M277" i="10"/>
  <c r="M276" i="10"/>
  <c r="M275" i="10"/>
  <c r="M274" i="10"/>
  <c r="M273" i="10"/>
  <c r="M272" i="10"/>
  <c r="M271" i="10"/>
  <c r="M270" i="10"/>
  <c r="M269" i="10"/>
  <c r="M268" i="10"/>
  <c r="M267" i="10"/>
  <c r="M266" i="10"/>
  <c r="M265" i="10"/>
  <c r="M264" i="10"/>
  <c r="M263" i="10"/>
  <c r="M262" i="10"/>
  <c r="M261" i="10"/>
  <c r="M260" i="10"/>
  <c r="M259" i="10"/>
  <c r="M258" i="10"/>
  <c r="M257" i="10"/>
  <c r="M256" i="10"/>
  <c r="M255" i="10"/>
  <c r="M254" i="10"/>
  <c r="M253" i="10"/>
  <c r="M252" i="10"/>
  <c r="M251" i="10"/>
  <c r="M250" i="10"/>
  <c r="M249" i="10"/>
  <c r="M248" i="10"/>
  <c r="M247" i="10"/>
  <c r="M246" i="10"/>
  <c r="M245" i="10"/>
  <c r="M244" i="10"/>
  <c r="M243" i="10"/>
  <c r="M242" i="10"/>
  <c r="M241" i="10"/>
  <c r="M240" i="10"/>
  <c r="M239" i="10"/>
  <c r="M238" i="10"/>
  <c r="M237" i="10"/>
  <c r="M236" i="10"/>
  <c r="M235" i="10"/>
  <c r="M234" i="10"/>
  <c r="M233" i="10"/>
  <c r="M232" i="10"/>
  <c r="M231" i="10"/>
  <c r="M230" i="10"/>
  <c r="M229" i="10"/>
  <c r="M228" i="10"/>
  <c r="M227" i="10"/>
  <c r="M226" i="10"/>
  <c r="M225" i="10"/>
  <c r="M224" i="10"/>
  <c r="M223" i="10"/>
  <c r="M222" i="10"/>
  <c r="M221" i="10"/>
  <c r="M220" i="10"/>
  <c r="M219" i="10"/>
  <c r="M218" i="10"/>
  <c r="M217" i="10"/>
  <c r="M216" i="10"/>
  <c r="M215" i="10"/>
  <c r="M214" i="10"/>
  <c r="M213" i="10"/>
  <c r="M212" i="10"/>
  <c r="M211" i="10"/>
  <c r="M210" i="10"/>
  <c r="M209" i="10"/>
  <c r="M208" i="10"/>
  <c r="M207" i="10"/>
  <c r="M206" i="10"/>
  <c r="M205" i="10"/>
  <c r="M204" i="10"/>
  <c r="M203" i="10"/>
  <c r="M202" i="10"/>
  <c r="M201" i="10"/>
  <c r="M200" i="10"/>
  <c r="M199" i="10"/>
  <c r="M198" i="10"/>
  <c r="M197" i="10"/>
  <c r="M196" i="10"/>
  <c r="M195" i="10"/>
  <c r="M194" i="10"/>
  <c r="M193" i="10"/>
  <c r="M192" i="10"/>
  <c r="M191" i="10"/>
  <c r="M190" i="10"/>
  <c r="M189" i="10"/>
  <c r="M188" i="10"/>
  <c r="M187" i="10"/>
  <c r="M186" i="10"/>
  <c r="M185" i="10"/>
  <c r="M184" i="10"/>
  <c r="M183" i="10"/>
  <c r="M182" i="10"/>
  <c r="M181" i="10"/>
  <c r="M180" i="10"/>
  <c r="M179" i="10"/>
  <c r="M178" i="10"/>
  <c r="M177" i="10"/>
  <c r="M176" i="10"/>
  <c r="M175" i="10"/>
  <c r="M174" i="10"/>
  <c r="M173" i="10"/>
  <c r="M172" i="10"/>
  <c r="M171" i="10"/>
  <c r="M170" i="10"/>
  <c r="M169" i="10"/>
  <c r="M168" i="10"/>
  <c r="M167" i="10"/>
  <c r="M166" i="10"/>
  <c r="M165" i="10"/>
  <c r="M164" i="10"/>
  <c r="M163" i="10"/>
  <c r="M162" i="10"/>
  <c r="M161" i="10"/>
  <c r="M160" i="10"/>
  <c r="M159" i="10"/>
  <c r="M158" i="10"/>
  <c r="M157" i="10"/>
  <c r="M156" i="10"/>
  <c r="M155" i="10"/>
  <c r="M154" i="10"/>
  <c r="M153" i="10"/>
  <c r="M152" i="10"/>
  <c r="M151" i="10"/>
  <c r="M150" i="10"/>
  <c r="M149" i="10"/>
  <c r="M148" i="10"/>
  <c r="M147" i="10"/>
  <c r="M146" i="10"/>
  <c r="M145" i="10"/>
  <c r="M144" i="10"/>
  <c r="M143" i="10"/>
  <c r="M142" i="10"/>
  <c r="M141" i="10"/>
  <c r="M140" i="10"/>
  <c r="M139" i="10"/>
  <c r="M138" i="10"/>
  <c r="M137" i="10"/>
  <c r="M136" i="10"/>
  <c r="M135" i="10"/>
  <c r="M134" i="10"/>
  <c r="M133" i="10"/>
  <c r="M132" i="10"/>
  <c r="M131" i="10"/>
  <c r="M130" i="10"/>
  <c r="M129" i="10"/>
  <c r="M128" i="10"/>
  <c r="M127" i="10"/>
  <c r="M126" i="10"/>
  <c r="M125" i="10"/>
  <c r="M124" i="10"/>
  <c r="M123" i="10"/>
  <c r="M122" i="10"/>
  <c r="M121" i="10"/>
  <c r="M120" i="10"/>
  <c r="M119" i="10"/>
  <c r="M118" i="10"/>
  <c r="M117" i="10"/>
  <c r="M116" i="10"/>
  <c r="M115" i="10"/>
  <c r="M114" i="10"/>
  <c r="M113" i="10"/>
  <c r="M112" i="10"/>
  <c r="M111" i="10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L311" i="10"/>
  <c r="L310" i="10"/>
  <c r="L309" i="10"/>
  <c r="L308" i="10"/>
  <c r="L307" i="10"/>
  <c r="L306" i="10"/>
  <c r="L305" i="10"/>
  <c r="L304" i="10"/>
  <c r="L303" i="10"/>
  <c r="L302" i="10"/>
  <c r="L301" i="10"/>
  <c r="L300" i="10"/>
  <c r="L299" i="10"/>
  <c r="L298" i="10"/>
  <c r="L297" i="10"/>
  <c r="L296" i="10"/>
  <c r="L295" i="10"/>
  <c r="L294" i="10"/>
  <c r="L293" i="10"/>
  <c r="L292" i="10"/>
  <c r="L291" i="10"/>
  <c r="L290" i="10"/>
  <c r="L289" i="10"/>
  <c r="L288" i="10"/>
  <c r="L287" i="10"/>
  <c r="L286" i="10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K10" i="9"/>
  <c r="E10" i="9"/>
  <c r="C10" i="9"/>
  <c r="Z311" i="22"/>
  <c r="AA311" i="22"/>
  <c r="Z312" i="22"/>
  <c r="F314" i="9" s="1"/>
  <c r="AC312" i="22" s="1"/>
  <c r="AD312" i="22" s="1"/>
  <c r="AA312" i="22"/>
  <c r="L314" i="9" s="1"/>
  <c r="Z313" i="22"/>
  <c r="F315" i="9" s="1"/>
  <c r="AC313" i="22" s="1"/>
  <c r="AD313" i="22" s="1"/>
  <c r="AA313" i="22"/>
  <c r="L315" i="9" s="1"/>
  <c r="Z314" i="22"/>
  <c r="F316" i="9" s="1"/>
  <c r="AC314" i="22" s="1"/>
  <c r="AD314" i="22" s="1"/>
  <c r="AA314" i="22"/>
  <c r="L316" i="9" s="1"/>
  <c r="Z315" i="22"/>
  <c r="AA315" i="22"/>
  <c r="Z316" i="22"/>
  <c r="F318" i="9" s="1"/>
  <c r="AC316" i="22" s="1"/>
  <c r="AD316" i="22" s="1"/>
  <c r="AA316" i="22"/>
  <c r="L318" i="9" s="1"/>
  <c r="Z317" i="22"/>
  <c r="F319" i="9" s="1"/>
  <c r="AC317" i="22" s="1"/>
  <c r="AD317" i="22" s="1"/>
  <c r="AA317" i="22"/>
  <c r="L319" i="9" s="1"/>
  <c r="Z318" i="22"/>
  <c r="AA318" i="22"/>
  <c r="Z319" i="22"/>
  <c r="AA319" i="22"/>
  <c r="X319" i="22"/>
  <c r="P321" i="9" s="1"/>
  <c r="Q321" i="9" s="1"/>
  <c r="X318" i="22"/>
  <c r="P320" i="9" s="1"/>
  <c r="Q320" i="9" s="1"/>
  <c r="X317" i="22"/>
  <c r="P319" i="9" s="1"/>
  <c r="Q319" i="9" s="1"/>
  <c r="X316" i="22"/>
  <c r="P318" i="9" s="1"/>
  <c r="Q318" i="9" s="1"/>
  <c r="X315" i="22"/>
  <c r="P317" i="9" s="1"/>
  <c r="Q317" i="9" s="1"/>
  <c r="X314" i="22"/>
  <c r="P316" i="9" s="1"/>
  <c r="Q316" i="9" s="1"/>
  <c r="X313" i="22"/>
  <c r="P315" i="9" s="1"/>
  <c r="Q315" i="9" s="1"/>
  <c r="X312" i="22"/>
  <c r="P314" i="9" s="1"/>
  <c r="Q314" i="9" s="1"/>
  <c r="X311" i="22"/>
  <c r="P313" i="9" s="1"/>
  <c r="Q313" i="9" s="1"/>
  <c r="C233" i="18"/>
  <c r="C304" i="18"/>
  <c r="C10" i="18"/>
  <c r="C306" i="18"/>
  <c r="C305" i="18"/>
  <c r="C303" i="18"/>
  <c r="C302" i="18"/>
  <c r="C301" i="18"/>
  <c r="C300" i="18"/>
  <c r="C299" i="18"/>
  <c r="C298" i="18"/>
  <c r="C297" i="18"/>
  <c r="C296" i="18"/>
  <c r="C295" i="18"/>
  <c r="C294" i="18"/>
  <c r="C293" i="18"/>
  <c r="C292" i="18"/>
  <c r="C291" i="18"/>
  <c r="C290" i="18"/>
  <c r="C289" i="18"/>
  <c r="C288" i="18"/>
  <c r="C287" i="18"/>
  <c r="C286" i="18"/>
  <c r="C285" i="18"/>
  <c r="C284" i="18"/>
  <c r="C283" i="18"/>
  <c r="C282" i="18"/>
  <c r="C281" i="18"/>
  <c r="C280" i="18"/>
  <c r="C279" i="18"/>
  <c r="C278" i="18"/>
  <c r="C277" i="18"/>
  <c r="C276" i="18"/>
  <c r="C275" i="18"/>
  <c r="C274" i="18"/>
  <c r="C273" i="18"/>
  <c r="C272" i="18"/>
  <c r="C271" i="18"/>
  <c r="C270" i="18"/>
  <c r="C269" i="18"/>
  <c r="C268" i="18"/>
  <c r="C267" i="18"/>
  <c r="C266" i="18"/>
  <c r="C265" i="18"/>
  <c r="C264" i="18"/>
  <c r="C263" i="18"/>
  <c r="C262" i="18"/>
  <c r="C261" i="18"/>
  <c r="C260" i="18"/>
  <c r="C259" i="18"/>
  <c r="C258" i="18"/>
  <c r="C257" i="18"/>
  <c r="C256" i="18"/>
  <c r="C255" i="18"/>
  <c r="C254" i="18"/>
  <c r="C253" i="18"/>
  <c r="C252" i="18"/>
  <c r="C251" i="18"/>
  <c r="C250" i="18"/>
  <c r="C249" i="18"/>
  <c r="C248" i="18"/>
  <c r="C247" i="18"/>
  <c r="C246" i="18"/>
  <c r="C245" i="18"/>
  <c r="C244" i="18"/>
  <c r="C243" i="18"/>
  <c r="C242" i="18"/>
  <c r="C241" i="18"/>
  <c r="C240" i="18"/>
  <c r="C239" i="18"/>
  <c r="C238" i="18"/>
  <c r="C237" i="18"/>
  <c r="C236" i="18"/>
  <c r="C235" i="18"/>
  <c r="C234" i="18"/>
  <c r="C232" i="18"/>
  <c r="C231" i="18"/>
  <c r="C230" i="18"/>
  <c r="C229" i="18"/>
  <c r="C228" i="18"/>
  <c r="C227" i="18"/>
  <c r="C226" i="18"/>
  <c r="C225" i="18"/>
  <c r="C224" i="18"/>
  <c r="C223" i="18"/>
  <c r="C222" i="18"/>
  <c r="C221" i="18"/>
  <c r="C220" i="18"/>
  <c r="C219" i="18"/>
  <c r="C218" i="18"/>
  <c r="C217" i="18"/>
  <c r="C216" i="18"/>
  <c r="C215" i="18"/>
  <c r="C214" i="18"/>
  <c r="C213" i="18"/>
  <c r="C212" i="18"/>
  <c r="C211" i="18"/>
  <c r="C210" i="18"/>
  <c r="C209" i="18"/>
  <c r="C208" i="18"/>
  <c r="C207" i="18"/>
  <c r="C206" i="18"/>
  <c r="C205" i="18"/>
  <c r="C204" i="18"/>
  <c r="C203" i="18"/>
  <c r="C202" i="18"/>
  <c r="C201" i="18"/>
  <c r="C200" i="18"/>
  <c r="C199" i="18"/>
  <c r="C198" i="18"/>
  <c r="C197" i="18"/>
  <c r="C196" i="18"/>
  <c r="C195" i="18"/>
  <c r="C194" i="18"/>
  <c r="C193" i="18"/>
  <c r="C192" i="18"/>
  <c r="C191" i="18"/>
  <c r="C190" i="18"/>
  <c r="C189" i="18"/>
  <c r="C188" i="18"/>
  <c r="C187" i="18"/>
  <c r="C186" i="18"/>
  <c r="C185" i="18"/>
  <c r="C184" i="18"/>
  <c r="C183" i="18"/>
  <c r="C182" i="18"/>
  <c r="C181" i="18"/>
  <c r="C180" i="18"/>
  <c r="C179" i="18"/>
  <c r="C178" i="18"/>
  <c r="C177" i="18"/>
  <c r="C176" i="18"/>
  <c r="C175" i="18"/>
  <c r="C174" i="18"/>
  <c r="C173" i="18"/>
  <c r="C172" i="18"/>
  <c r="C171" i="18"/>
  <c r="C170" i="18"/>
  <c r="C169" i="18"/>
  <c r="C168" i="18"/>
  <c r="C167" i="18"/>
  <c r="C166" i="18"/>
  <c r="C165" i="18"/>
  <c r="C164" i="18"/>
  <c r="C163" i="18"/>
  <c r="C162" i="18"/>
  <c r="C161" i="18"/>
  <c r="C160" i="18"/>
  <c r="C159" i="18"/>
  <c r="C158" i="18"/>
  <c r="C157" i="18"/>
  <c r="C156" i="18"/>
  <c r="C155" i="18"/>
  <c r="C154" i="18"/>
  <c r="C153" i="18"/>
  <c r="C152" i="18"/>
  <c r="C151" i="18"/>
  <c r="C150" i="18"/>
  <c r="C149" i="18"/>
  <c r="C148" i="18"/>
  <c r="C147" i="18"/>
  <c r="C146" i="18"/>
  <c r="C145" i="18"/>
  <c r="C144" i="18"/>
  <c r="C143" i="18"/>
  <c r="C142" i="18"/>
  <c r="C141" i="18"/>
  <c r="C140" i="18"/>
  <c r="C139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9" i="18"/>
  <c r="C8" i="18"/>
  <c r="C7" i="18"/>
  <c r="C6" i="18"/>
  <c r="C5" i="18"/>
  <c r="E306" i="18"/>
  <c r="E305" i="18"/>
  <c r="E303" i="18"/>
  <c r="E302" i="18"/>
  <c r="E301" i="18"/>
  <c r="E300" i="18"/>
  <c r="E299" i="18"/>
  <c r="E298" i="18"/>
  <c r="E297" i="18"/>
  <c r="E296" i="18"/>
  <c r="E295" i="18"/>
  <c r="E294" i="18"/>
  <c r="E293" i="18"/>
  <c r="E292" i="18"/>
  <c r="E291" i="18"/>
  <c r="E290" i="18"/>
  <c r="E289" i="18"/>
  <c r="E288" i="18"/>
  <c r="E287" i="18"/>
  <c r="E286" i="18"/>
  <c r="E285" i="18"/>
  <c r="E284" i="18"/>
  <c r="E283" i="18"/>
  <c r="E282" i="18"/>
  <c r="E281" i="18"/>
  <c r="E280" i="18"/>
  <c r="E279" i="18"/>
  <c r="E278" i="18"/>
  <c r="E277" i="18"/>
  <c r="E276" i="18"/>
  <c r="E275" i="18"/>
  <c r="E274" i="18"/>
  <c r="E273" i="18"/>
  <c r="E272" i="18"/>
  <c r="E271" i="18"/>
  <c r="E270" i="18"/>
  <c r="E269" i="18"/>
  <c r="E268" i="18"/>
  <c r="E267" i="18"/>
  <c r="E266" i="18"/>
  <c r="E265" i="18"/>
  <c r="E264" i="18"/>
  <c r="E263" i="18"/>
  <c r="E262" i="18"/>
  <c r="E261" i="18"/>
  <c r="E260" i="18"/>
  <c r="E259" i="18"/>
  <c r="E258" i="18"/>
  <c r="E257" i="18"/>
  <c r="E256" i="18"/>
  <c r="E255" i="18"/>
  <c r="E254" i="18"/>
  <c r="E253" i="18"/>
  <c r="E252" i="18"/>
  <c r="E251" i="18"/>
  <c r="E250" i="18"/>
  <c r="E249" i="18"/>
  <c r="E248" i="18"/>
  <c r="E247" i="18"/>
  <c r="E246" i="18"/>
  <c r="E245" i="18"/>
  <c r="E244" i="18"/>
  <c r="E243" i="18"/>
  <c r="E242" i="18"/>
  <c r="E241" i="18"/>
  <c r="E240" i="18"/>
  <c r="E239" i="18"/>
  <c r="E238" i="18"/>
  <c r="E237" i="18"/>
  <c r="E236" i="18"/>
  <c r="E235" i="18"/>
  <c r="E234" i="18"/>
  <c r="E232" i="18"/>
  <c r="E231" i="18"/>
  <c r="E230" i="18"/>
  <c r="E229" i="18"/>
  <c r="E228" i="18"/>
  <c r="E227" i="18"/>
  <c r="E226" i="18"/>
  <c r="E225" i="18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2" i="18"/>
  <c r="E211" i="18"/>
  <c r="E210" i="18"/>
  <c r="E209" i="18"/>
  <c r="E208" i="18"/>
  <c r="E207" i="18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94" i="18"/>
  <c r="E193" i="18"/>
  <c r="E192" i="18"/>
  <c r="E191" i="18"/>
  <c r="E190" i="18"/>
  <c r="E189" i="18"/>
  <c r="E188" i="18"/>
  <c r="E187" i="18"/>
  <c r="E186" i="18"/>
  <c r="E185" i="18"/>
  <c r="E184" i="18"/>
  <c r="E183" i="18"/>
  <c r="E182" i="18"/>
  <c r="E181" i="18"/>
  <c r="E180" i="18"/>
  <c r="E179" i="18"/>
  <c r="E178" i="18"/>
  <c r="E177" i="18"/>
  <c r="E176" i="18"/>
  <c r="E175" i="18"/>
  <c r="E174" i="18"/>
  <c r="E173" i="18"/>
  <c r="E172" i="18"/>
  <c r="E171" i="18"/>
  <c r="E170" i="18"/>
  <c r="E169" i="18"/>
  <c r="E168" i="18"/>
  <c r="E167" i="18"/>
  <c r="E166" i="18"/>
  <c r="E165" i="18"/>
  <c r="E164" i="18"/>
  <c r="E163" i="18"/>
  <c r="E162" i="18"/>
  <c r="E161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48" i="18"/>
  <c r="E147" i="18"/>
  <c r="E146" i="18"/>
  <c r="E145" i="18"/>
  <c r="E144" i="18"/>
  <c r="E143" i="18"/>
  <c r="E142" i="18"/>
  <c r="E141" i="18"/>
  <c r="E307" i="18"/>
  <c r="E140" i="18"/>
  <c r="E139" i="18"/>
  <c r="E138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9" i="18"/>
  <c r="E8" i="18"/>
  <c r="E7" i="18"/>
  <c r="E6" i="18"/>
  <c r="E5" i="18"/>
  <c r="O11" i="10"/>
  <c r="N11" i="10"/>
  <c r="M11" i="10"/>
  <c r="L11" i="10"/>
  <c r="O238" i="9"/>
  <c r="K238" i="9"/>
  <c r="J238" i="9"/>
  <c r="I238" i="9"/>
  <c r="E238" i="9"/>
  <c r="D238" i="9"/>
  <c r="C238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70" i="25" s="1"/>
  <c r="E21" i="9"/>
  <c r="E20" i="9"/>
  <c r="E19" i="9"/>
  <c r="E18" i="9"/>
  <c r="E17" i="9"/>
  <c r="E16" i="9"/>
  <c r="E15" i="9"/>
  <c r="E14" i="9"/>
  <c r="E13" i="9"/>
  <c r="E12" i="9"/>
  <c r="E11" i="9"/>
  <c r="O311" i="9"/>
  <c r="O310" i="9"/>
  <c r="O309" i="9"/>
  <c r="O308" i="9"/>
  <c r="O307" i="9"/>
  <c r="O306" i="9"/>
  <c r="O305" i="9"/>
  <c r="O304" i="9"/>
  <c r="O303" i="9"/>
  <c r="O302" i="9"/>
  <c r="O301" i="9"/>
  <c r="O300" i="9"/>
  <c r="O299" i="9"/>
  <c r="O298" i="9"/>
  <c r="O297" i="9"/>
  <c r="O296" i="9"/>
  <c r="O295" i="9"/>
  <c r="O294" i="9"/>
  <c r="O293" i="9"/>
  <c r="O292" i="9"/>
  <c r="O291" i="9"/>
  <c r="O290" i="9"/>
  <c r="O289" i="9"/>
  <c r="O288" i="9"/>
  <c r="O287" i="9"/>
  <c r="O286" i="9"/>
  <c r="O285" i="9"/>
  <c r="O284" i="9"/>
  <c r="O283" i="9"/>
  <c r="O282" i="9"/>
  <c r="O281" i="9"/>
  <c r="O280" i="9"/>
  <c r="O279" i="9"/>
  <c r="O278" i="9"/>
  <c r="O277" i="9"/>
  <c r="O276" i="9"/>
  <c r="O275" i="9"/>
  <c r="O274" i="9"/>
  <c r="O273" i="9"/>
  <c r="O272" i="9"/>
  <c r="O271" i="9"/>
  <c r="O270" i="9"/>
  <c r="O269" i="9"/>
  <c r="O268" i="9"/>
  <c r="O267" i="9"/>
  <c r="O266" i="9"/>
  <c r="O265" i="9"/>
  <c r="O264" i="9"/>
  <c r="O263" i="9"/>
  <c r="O262" i="9"/>
  <c r="O261" i="9"/>
  <c r="O260" i="9"/>
  <c r="O259" i="9"/>
  <c r="O258" i="9"/>
  <c r="O257" i="9"/>
  <c r="O256" i="9"/>
  <c r="O255" i="9"/>
  <c r="O254" i="9"/>
  <c r="O253" i="9"/>
  <c r="O252" i="9"/>
  <c r="O251" i="9"/>
  <c r="O250" i="9"/>
  <c r="O249" i="9"/>
  <c r="O248" i="9"/>
  <c r="O247" i="9"/>
  <c r="O246" i="9"/>
  <c r="O245" i="9"/>
  <c r="O244" i="9"/>
  <c r="O243" i="9"/>
  <c r="O242" i="9"/>
  <c r="O241" i="9"/>
  <c r="O240" i="9"/>
  <c r="O239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K311" i="9"/>
  <c r="K310" i="9"/>
  <c r="K309" i="9"/>
  <c r="K308" i="9"/>
  <c r="K307" i="9"/>
  <c r="K306" i="9"/>
  <c r="K305" i="9"/>
  <c r="K304" i="9"/>
  <c r="K303" i="9"/>
  <c r="K302" i="9"/>
  <c r="K301" i="9"/>
  <c r="K300" i="9"/>
  <c r="K299" i="9"/>
  <c r="K298" i="9"/>
  <c r="K297" i="9"/>
  <c r="K296" i="9"/>
  <c r="K295" i="9"/>
  <c r="K294" i="9"/>
  <c r="K293" i="9"/>
  <c r="K292" i="9"/>
  <c r="K291" i="9"/>
  <c r="K290" i="9"/>
  <c r="K289" i="9"/>
  <c r="K288" i="9"/>
  <c r="K287" i="9"/>
  <c r="K286" i="9"/>
  <c r="K285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1" i="9"/>
  <c r="K260" i="9"/>
  <c r="K259" i="9"/>
  <c r="K258" i="9"/>
  <c r="K257" i="9"/>
  <c r="K256" i="9"/>
  <c r="K255" i="9"/>
  <c r="K254" i="9"/>
  <c r="K253" i="9"/>
  <c r="K252" i="9"/>
  <c r="K251" i="9"/>
  <c r="K250" i="9"/>
  <c r="K249" i="9"/>
  <c r="K248" i="9"/>
  <c r="K247" i="9"/>
  <c r="K246" i="9"/>
  <c r="K245" i="9"/>
  <c r="K244" i="9"/>
  <c r="K243" i="9"/>
  <c r="K242" i="9"/>
  <c r="K241" i="9"/>
  <c r="K240" i="9"/>
  <c r="K239" i="9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E88" i="25" s="1"/>
  <c r="K21" i="9"/>
  <c r="K20" i="9"/>
  <c r="K19" i="9"/>
  <c r="K18" i="9"/>
  <c r="K17" i="9"/>
  <c r="K16" i="9"/>
  <c r="K15" i="9"/>
  <c r="K14" i="9"/>
  <c r="K13" i="9"/>
  <c r="K12" i="9"/>
  <c r="K11" i="9"/>
  <c r="I311" i="9"/>
  <c r="I310" i="9"/>
  <c r="I309" i="9"/>
  <c r="I308" i="9"/>
  <c r="I307" i="9"/>
  <c r="I306" i="9"/>
  <c r="I305" i="9"/>
  <c r="I304" i="9"/>
  <c r="I303" i="9"/>
  <c r="I302" i="9"/>
  <c r="I301" i="9"/>
  <c r="I300" i="9"/>
  <c r="I299" i="9"/>
  <c r="I298" i="9"/>
  <c r="I297" i="9"/>
  <c r="I296" i="9"/>
  <c r="I295" i="9"/>
  <c r="I294" i="9"/>
  <c r="I293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E82" i="25" s="1"/>
  <c r="I21" i="9"/>
  <c r="I20" i="9"/>
  <c r="I19" i="9"/>
  <c r="I18" i="9"/>
  <c r="I17" i="9"/>
  <c r="I16" i="9"/>
  <c r="I15" i="9"/>
  <c r="I14" i="9"/>
  <c r="I13" i="9"/>
  <c r="I12" i="9"/>
  <c r="I11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E68" i="25" s="1"/>
  <c r="D21" i="9"/>
  <c r="D20" i="9"/>
  <c r="D19" i="9"/>
  <c r="D18" i="9"/>
  <c r="D17" i="9"/>
  <c r="D16" i="9"/>
  <c r="D15" i="9"/>
  <c r="D14" i="9"/>
  <c r="D13" i="9"/>
  <c r="D12" i="9"/>
  <c r="D11" i="9"/>
  <c r="J311" i="9"/>
  <c r="J310" i="9"/>
  <c r="J309" i="9"/>
  <c r="J308" i="9"/>
  <c r="J307" i="9"/>
  <c r="J306" i="9"/>
  <c r="J305" i="9"/>
  <c r="J304" i="9"/>
  <c r="J303" i="9"/>
  <c r="J302" i="9"/>
  <c r="J301" i="9"/>
  <c r="J300" i="9"/>
  <c r="J299" i="9"/>
  <c r="J298" i="9"/>
  <c r="J297" i="9"/>
  <c r="J296" i="9"/>
  <c r="J295" i="9"/>
  <c r="J294" i="9"/>
  <c r="J293" i="9"/>
  <c r="J292" i="9"/>
  <c r="J291" i="9"/>
  <c r="J290" i="9"/>
  <c r="J289" i="9"/>
  <c r="J288" i="9"/>
  <c r="J287" i="9"/>
  <c r="J286" i="9"/>
  <c r="J285" i="9"/>
  <c r="J284" i="9"/>
  <c r="J283" i="9"/>
  <c r="J282" i="9"/>
  <c r="J281" i="9"/>
  <c r="J280" i="9"/>
  <c r="J279" i="9"/>
  <c r="J278" i="9"/>
  <c r="J277" i="9"/>
  <c r="J276" i="9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E86" i="25" s="1"/>
  <c r="J21" i="9"/>
  <c r="J20" i="9"/>
  <c r="J19" i="9"/>
  <c r="J18" i="9"/>
  <c r="J17" i="9"/>
  <c r="J16" i="9"/>
  <c r="J15" i="9"/>
  <c r="J14" i="9"/>
  <c r="J13" i="9"/>
  <c r="J12" i="9"/>
  <c r="J11" i="9"/>
  <c r="J10" i="9"/>
  <c r="C311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C289" i="9"/>
  <c r="C288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9" i="8"/>
  <c r="D312" i="8"/>
  <c r="C312" i="8"/>
  <c r="D310" i="19"/>
  <c r="C310" i="19"/>
  <c r="P48" i="13"/>
  <c r="AA22" i="13"/>
  <c r="Z22" i="13"/>
  <c r="Y22" i="13"/>
  <c r="Z6" i="13"/>
  <c r="P8" i="13"/>
  <c r="P22" i="13"/>
  <c r="Y32" i="13"/>
  <c r="Z32" i="13" s="1"/>
  <c r="Y21" i="13"/>
  <c r="Z21" i="13" s="1"/>
  <c r="AA21" i="13" s="1"/>
  <c r="Y20" i="13"/>
  <c r="Z20" i="13" s="1"/>
  <c r="L36" i="13"/>
  <c r="J36" i="13"/>
  <c r="P34" i="13"/>
  <c r="P32" i="13"/>
  <c r="P31" i="13"/>
  <c r="AE31" i="13" s="1"/>
  <c r="P21" i="13"/>
  <c r="P20" i="13"/>
  <c r="P19" i="13"/>
  <c r="F18" i="11"/>
  <c r="F25" i="11" s="1"/>
  <c r="E318" i="10"/>
  <c r="G315" i="10"/>
  <c r="G313" i="10"/>
  <c r="N10" i="13"/>
  <c r="P27" i="13"/>
  <c r="AE27" i="13" s="1"/>
  <c r="D9" i="17"/>
  <c r="F10" i="15"/>
  <c r="O316" i="18"/>
  <c r="N316" i="18"/>
  <c r="M316" i="18"/>
  <c r="L316" i="18"/>
  <c r="O315" i="18"/>
  <c r="N315" i="18"/>
  <c r="M315" i="18"/>
  <c r="L315" i="18"/>
  <c r="O314" i="18"/>
  <c r="N314" i="18"/>
  <c r="M314" i="18"/>
  <c r="L314" i="18"/>
  <c r="F7" i="15"/>
  <c r="P26" i="13"/>
  <c r="AE26" i="13" s="1"/>
  <c r="G322" i="18"/>
  <c r="P25" i="13"/>
  <c r="L10" i="13"/>
  <c r="J10" i="13"/>
  <c r="U321" i="22"/>
  <c r="T321" i="22"/>
  <c r="R321" i="22"/>
  <c r="P321" i="22"/>
  <c r="O321" i="22"/>
  <c r="Q321" i="22"/>
  <c r="V321" i="22"/>
  <c r="L313" i="18"/>
  <c r="L308" i="18"/>
  <c r="N308" i="18"/>
  <c r="O308" i="18"/>
  <c r="M308" i="18"/>
  <c r="N313" i="18"/>
  <c r="O313" i="18"/>
  <c r="M313" i="18"/>
  <c r="M310" i="18"/>
  <c r="M309" i="18"/>
  <c r="M311" i="18"/>
  <c r="N311" i="18"/>
  <c r="O311" i="18"/>
  <c r="L311" i="18"/>
  <c r="N312" i="18"/>
  <c r="L312" i="18"/>
  <c r="O312" i="18"/>
  <c r="M312" i="18"/>
  <c r="O310" i="18"/>
  <c r="L310" i="18"/>
  <c r="N310" i="18"/>
  <c r="N309" i="18"/>
  <c r="O309" i="18"/>
  <c r="L309" i="18"/>
  <c r="I321" i="22"/>
  <c r="J321" i="22"/>
  <c r="K321" i="22"/>
  <c r="L321" i="22"/>
  <c r="M321" i="22"/>
  <c r="E144" i="25" l="1"/>
  <c r="E28" i="25"/>
  <c r="G5" i="18"/>
  <c r="H5" i="18" s="1"/>
  <c r="X8" i="22" s="1"/>
  <c r="P10" i="9" s="1"/>
  <c r="AE33" i="13"/>
  <c r="AE34" i="13"/>
  <c r="P29" i="13"/>
  <c r="P36" i="13" s="1"/>
  <c r="AE32" i="13"/>
  <c r="Y29" i="13"/>
  <c r="Z29" i="13" s="1"/>
  <c r="AA29" i="13" s="1"/>
  <c r="AB29" i="13" s="1"/>
  <c r="AB36" i="13" s="1"/>
  <c r="AC36" i="13"/>
  <c r="AA8" i="13"/>
  <c r="AB8" i="13" s="1"/>
  <c r="G233" i="18"/>
  <c r="H233" i="18" s="1"/>
  <c r="D314" i="23"/>
  <c r="C314" i="23"/>
  <c r="E314" i="23"/>
  <c r="AE22" i="13"/>
  <c r="AE19" i="13"/>
  <c r="P10" i="13"/>
  <c r="R10" i="13" s="1"/>
  <c r="AA6" i="13"/>
  <c r="F317" i="9"/>
  <c r="L317" i="9"/>
  <c r="M317" i="9" s="1"/>
  <c r="G314" i="9"/>
  <c r="M316" i="9"/>
  <c r="G318" i="9"/>
  <c r="G316" i="9"/>
  <c r="M319" i="9"/>
  <c r="F320" i="9"/>
  <c r="L320" i="9"/>
  <c r="M320" i="9" s="1"/>
  <c r="F313" i="9"/>
  <c r="F321" i="9"/>
  <c r="L313" i="9"/>
  <c r="M313" i="9" s="1"/>
  <c r="L321" i="9"/>
  <c r="M321" i="9" s="1"/>
  <c r="M315" i="9"/>
  <c r="G315" i="9"/>
  <c r="G319" i="9"/>
  <c r="M318" i="9"/>
  <c r="M314" i="9"/>
  <c r="G10" i="18"/>
  <c r="H10" i="18" s="1"/>
  <c r="G304" i="18"/>
  <c r="H304" i="18" s="1"/>
  <c r="C327" i="9"/>
  <c r="G291" i="18"/>
  <c r="P313" i="18"/>
  <c r="Q313" i="18" s="1"/>
  <c r="P309" i="18"/>
  <c r="Q309" i="18" s="1"/>
  <c r="P311" i="18"/>
  <c r="Q311" i="18" s="1"/>
  <c r="P310" i="18"/>
  <c r="Q310" i="18" s="1"/>
  <c r="P312" i="18"/>
  <c r="Q312" i="18" s="1"/>
  <c r="P308" i="18"/>
  <c r="Q308" i="18" s="1"/>
  <c r="P314" i="18"/>
  <c r="Q314" i="18" s="1"/>
  <c r="E318" i="18"/>
  <c r="P315" i="18"/>
  <c r="Q315" i="18" s="1"/>
  <c r="G120" i="18"/>
  <c r="P316" i="18"/>
  <c r="Q316" i="18" s="1"/>
  <c r="Z10" i="13"/>
  <c r="G30" i="18"/>
  <c r="G186" i="18"/>
  <c r="Y10" i="13"/>
  <c r="E33" i="25" l="1"/>
  <c r="E116" i="25"/>
  <c r="Z36" i="13"/>
  <c r="Z38" i="13" s="1"/>
  <c r="AE29" i="13"/>
  <c r="Y36" i="13"/>
  <c r="Y38" i="13" s="1"/>
  <c r="R36" i="13"/>
  <c r="P52" i="13"/>
  <c r="AE8" i="13"/>
  <c r="AE21" i="13"/>
  <c r="AA10" i="13"/>
  <c r="AB6" i="13"/>
  <c r="AC6" i="13" s="1"/>
  <c r="AA36" i="13"/>
  <c r="AE20" i="13"/>
  <c r="W314" i="10"/>
  <c r="I304" i="18"/>
  <c r="N304" i="18" s="1"/>
  <c r="X307" i="22"/>
  <c r="P305" i="9" s="1"/>
  <c r="Q305" i="9" s="1"/>
  <c r="I233" i="18"/>
  <c r="O233" i="18" s="1"/>
  <c r="X236" i="22"/>
  <c r="P238" i="9" s="1"/>
  <c r="Q238" i="9" s="1"/>
  <c r="W316" i="10"/>
  <c r="I10" i="18"/>
  <c r="O10" i="18" s="1"/>
  <c r="X13" i="22"/>
  <c r="P15" i="9" s="1"/>
  <c r="Q15" i="9" s="1"/>
  <c r="W319" i="10"/>
  <c r="W315" i="10"/>
  <c r="W318" i="10"/>
  <c r="G321" i="9"/>
  <c r="W321" i="10" s="1"/>
  <c r="AC319" i="22"/>
  <c r="AD319" i="22" s="1"/>
  <c r="X316" i="10"/>
  <c r="X315" i="10"/>
  <c r="G317" i="9"/>
  <c r="AC315" i="22"/>
  <c r="AD315" i="22" s="1"/>
  <c r="X319" i="10"/>
  <c r="G320" i="9"/>
  <c r="AC318" i="22"/>
  <c r="AD318" i="22" s="1"/>
  <c r="X314" i="10"/>
  <c r="G313" i="9"/>
  <c r="W313" i="10" s="1"/>
  <c r="AC311" i="22"/>
  <c r="AD311" i="22" s="1"/>
  <c r="X318" i="10"/>
  <c r="G218" i="18"/>
  <c r="H218" i="18" s="1"/>
  <c r="X221" i="22" s="1"/>
  <c r="P223" i="9" s="1"/>
  <c r="Q223" i="9" s="1"/>
  <c r="G56" i="18"/>
  <c r="H56" i="18" s="1"/>
  <c r="X59" i="22" s="1"/>
  <c r="P61" i="9" s="1"/>
  <c r="Q61" i="9" s="1"/>
  <c r="G203" i="18"/>
  <c r="H203" i="18" s="1"/>
  <c r="X205" i="22" s="1"/>
  <c r="P208" i="9" s="1"/>
  <c r="Q208" i="9" s="1"/>
  <c r="G129" i="18"/>
  <c r="G156" i="18"/>
  <c r="G95" i="18"/>
  <c r="H95" i="18" s="1"/>
  <c r="X98" i="22" s="1"/>
  <c r="P100" i="9" s="1"/>
  <c r="Q100" i="9" s="1"/>
  <c r="G197" i="18"/>
  <c r="G294" i="18"/>
  <c r="G91" i="18"/>
  <c r="G164" i="18"/>
  <c r="H164" i="18" s="1"/>
  <c r="X167" i="22" s="1"/>
  <c r="P169" i="9" s="1"/>
  <c r="Q169" i="9" s="1"/>
  <c r="G247" i="18"/>
  <c r="G140" i="18"/>
  <c r="H140" i="18" s="1"/>
  <c r="X143" i="22" s="1"/>
  <c r="P145" i="9" s="1"/>
  <c r="Q145" i="9" s="1"/>
  <c r="G104" i="18"/>
  <c r="H104" i="18" s="1"/>
  <c r="X107" i="22" s="1"/>
  <c r="P109" i="9" s="1"/>
  <c r="Q109" i="9" s="1"/>
  <c r="G238" i="18"/>
  <c r="H291" i="18"/>
  <c r="X294" i="22" s="1"/>
  <c r="P296" i="9" s="1"/>
  <c r="Q296" i="9" s="1"/>
  <c r="G47" i="18"/>
  <c r="G9" i="18"/>
  <c r="G62" i="18"/>
  <c r="G147" i="18"/>
  <c r="G152" i="18"/>
  <c r="G253" i="18"/>
  <c r="G175" i="18"/>
  <c r="G178" i="18"/>
  <c r="G24" i="18"/>
  <c r="G51" i="18"/>
  <c r="G119" i="18"/>
  <c r="G53" i="18"/>
  <c r="G163" i="18"/>
  <c r="G64" i="18"/>
  <c r="G46" i="18"/>
  <c r="G66" i="18"/>
  <c r="G165" i="18"/>
  <c r="G143" i="18"/>
  <c r="G243" i="18"/>
  <c r="G215" i="18"/>
  <c r="G286" i="18"/>
  <c r="G296" i="18"/>
  <c r="G278" i="18"/>
  <c r="G222" i="18"/>
  <c r="G299" i="18"/>
  <c r="G265" i="18"/>
  <c r="G288" i="18"/>
  <c r="G60" i="18"/>
  <c r="G230" i="18"/>
  <c r="G204" i="18"/>
  <c r="G134" i="18"/>
  <c r="G266" i="18"/>
  <c r="G127" i="18"/>
  <c r="G37" i="18"/>
  <c r="G101" i="18"/>
  <c r="G13" i="18"/>
  <c r="G199" i="18"/>
  <c r="G49" i="18"/>
  <c r="G126" i="18"/>
  <c r="G207" i="18"/>
  <c r="G154" i="18"/>
  <c r="G52" i="18"/>
  <c r="G259" i="18"/>
  <c r="G173" i="18"/>
  <c r="G267" i="18"/>
  <c r="G305" i="18"/>
  <c r="G33" i="18"/>
  <c r="G72" i="18"/>
  <c r="G202" i="18"/>
  <c r="H202" i="18" s="1"/>
  <c r="X209" i="22" s="1"/>
  <c r="P207" i="9" s="1"/>
  <c r="Q207" i="9" s="1"/>
  <c r="G279" i="18"/>
  <c r="G193" i="18"/>
  <c r="G98" i="18"/>
  <c r="G231" i="18"/>
  <c r="G187" i="18"/>
  <c r="G258" i="18"/>
  <c r="G268" i="18"/>
  <c r="G239" i="18"/>
  <c r="G201" i="18"/>
  <c r="G229" i="18"/>
  <c r="G92" i="18"/>
  <c r="G244" i="18"/>
  <c r="G167" i="18"/>
  <c r="G306" i="18"/>
  <c r="G89" i="18"/>
  <c r="G133" i="18"/>
  <c r="G232" i="18"/>
  <c r="G228" i="18"/>
  <c r="G96" i="18"/>
  <c r="G208" i="18"/>
  <c r="G302" i="18"/>
  <c r="G141" i="18"/>
  <c r="G172" i="18"/>
  <c r="G274" i="18"/>
  <c r="H274" i="18" s="1"/>
  <c r="X277" i="22" s="1"/>
  <c r="P279" i="9" s="1"/>
  <c r="Q279" i="9" s="1"/>
  <c r="G242" i="18"/>
  <c r="G257" i="18"/>
  <c r="G36" i="18"/>
  <c r="G273" i="18"/>
  <c r="G157" i="18"/>
  <c r="G190" i="18"/>
  <c r="G149" i="18"/>
  <c r="G189" i="18"/>
  <c r="G158" i="18"/>
  <c r="G29" i="18"/>
  <c r="G135" i="18"/>
  <c r="G71" i="18"/>
  <c r="G105" i="18"/>
  <c r="G108" i="18"/>
  <c r="G170" i="18"/>
  <c r="G21" i="18"/>
  <c r="G81" i="18"/>
  <c r="G109" i="18"/>
  <c r="G97" i="18"/>
  <c r="G198" i="18"/>
  <c r="G270" i="18"/>
  <c r="G161" i="18"/>
  <c r="G280" i="18"/>
  <c r="G65" i="18"/>
  <c r="H65" i="18" s="1"/>
  <c r="X68" i="22" s="1"/>
  <c r="P70" i="9" s="1"/>
  <c r="Q70" i="9" s="1"/>
  <c r="G67" i="18"/>
  <c r="G219" i="18"/>
  <c r="H219" i="18" s="1"/>
  <c r="X222" i="22" s="1"/>
  <c r="P224" i="9" s="1"/>
  <c r="Q224" i="9" s="1"/>
  <c r="G87" i="18"/>
  <c r="G185" i="18"/>
  <c r="G136" i="18"/>
  <c r="G99" i="18"/>
  <c r="G128" i="18"/>
  <c r="G142" i="18"/>
  <c r="G184" i="18"/>
  <c r="G85" i="18"/>
  <c r="G114" i="18"/>
  <c r="G145" i="18"/>
  <c r="G22" i="18"/>
  <c r="G262" i="18"/>
  <c r="G139" i="18"/>
  <c r="G241" i="18"/>
  <c r="G118" i="18"/>
  <c r="G285" i="18"/>
  <c r="G125" i="18"/>
  <c r="G261" i="18"/>
  <c r="G88" i="18"/>
  <c r="G195" i="18"/>
  <c r="G297" i="18"/>
  <c r="G177" i="18"/>
  <c r="G210" i="18"/>
  <c r="G235" i="18"/>
  <c r="G224" i="18"/>
  <c r="G196" i="18"/>
  <c r="G116" i="18"/>
  <c r="G61" i="18"/>
  <c r="G70" i="18"/>
  <c r="G130" i="18"/>
  <c r="G180" i="18"/>
  <c r="G168" i="18"/>
  <c r="G214" i="18"/>
  <c r="G275" i="18"/>
  <c r="G40" i="18"/>
  <c r="G132" i="18"/>
  <c r="G223" i="18"/>
  <c r="G111" i="18"/>
  <c r="G26" i="18"/>
  <c r="G245" i="18"/>
  <c r="G212" i="18"/>
  <c r="G110" i="18"/>
  <c r="G122" i="18"/>
  <c r="G107" i="18"/>
  <c r="G277" i="18"/>
  <c r="G23" i="18"/>
  <c r="G160" i="18"/>
  <c r="G269" i="18"/>
  <c r="G209" i="18"/>
  <c r="G194" i="18"/>
  <c r="G284" i="18"/>
  <c r="G271" i="18"/>
  <c r="G237" i="18"/>
  <c r="G166" i="18"/>
  <c r="G144" i="18"/>
  <c r="G137" i="18"/>
  <c r="G28" i="18"/>
  <c r="G246" i="18"/>
  <c r="G162" i="18"/>
  <c r="G250" i="18"/>
  <c r="G216" i="18"/>
  <c r="H216" i="18" s="1"/>
  <c r="X219" i="22" s="1"/>
  <c r="P221" i="9" s="1"/>
  <c r="Q221" i="9" s="1"/>
  <c r="G31" i="18"/>
  <c r="H31" i="18" s="1"/>
  <c r="X34" i="22" s="1"/>
  <c r="P36" i="9" s="1"/>
  <c r="Q36" i="9" s="1"/>
  <c r="G295" i="18"/>
  <c r="G264" i="18"/>
  <c r="G303" i="18"/>
  <c r="G83" i="18"/>
  <c r="G254" i="18"/>
  <c r="G169" i="18"/>
  <c r="G188" i="18"/>
  <c r="G7" i="18"/>
  <c r="H7" i="18" s="1"/>
  <c r="X10" i="22" s="1"/>
  <c r="P12" i="9" s="1"/>
  <c r="Q12" i="9" s="1"/>
  <c r="G77" i="18"/>
  <c r="G234" i="18"/>
  <c r="G55" i="18"/>
  <c r="G292" i="18"/>
  <c r="G131" i="18"/>
  <c r="G240" i="18"/>
  <c r="H240" i="18" s="1"/>
  <c r="X243" i="22" s="1"/>
  <c r="P245" i="9" s="1"/>
  <c r="Q245" i="9" s="1"/>
  <c r="G213" i="18"/>
  <c r="G6" i="18"/>
  <c r="G272" i="18"/>
  <c r="G255" i="18"/>
  <c r="G17" i="18"/>
  <c r="G63" i="18"/>
  <c r="G226" i="18"/>
  <c r="G82" i="18"/>
  <c r="G205" i="18"/>
  <c r="G251" i="18"/>
  <c r="G138" i="18"/>
  <c r="G217" i="18"/>
  <c r="G32" i="18"/>
  <c r="G34" i="18"/>
  <c r="G78" i="18"/>
  <c r="G300" i="18"/>
  <c r="G45" i="18"/>
  <c r="G43" i="18"/>
  <c r="G54" i="18"/>
  <c r="G252" i="18"/>
  <c r="G148" i="18"/>
  <c r="G50" i="18"/>
  <c r="G289" i="18"/>
  <c r="G124" i="18"/>
  <c r="G80" i="18"/>
  <c r="G14" i="18"/>
  <c r="G263" i="18"/>
  <c r="G68" i="18"/>
  <c r="G117" i="18"/>
  <c r="G102" i="18"/>
  <c r="G298" i="18"/>
  <c r="H298" i="18" s="1"/>
  <c r="X301" i="22" s="1"/>
  <c r="P303" i="9" s="1"/>
  <c r="Q303" i="9" s="1"/>
  <c r="G113" i="18"/>
  <c r="G181" i="18"/>
  <c r="G307" i="18"/>
  <c r="G18" i="18"/>
  <c r="G236" i="18"/>
  <c r="G179" i="18"/>
  <c r="G192" i="18"/>
  <c r="G8" i="18"/>
  <c r="G281" i="18"/>
  <c r="G103" i="18"/>
  <c r="G225" i="18"/>
  <c r="G58" i="18"/>
  <c r="G221" i="18"/>
  <c r="G150" i="18"/>
  <c r="G182" i="18"/>
  <c r="G25" i="18"/>
  <c r="G276" i="18"/>
  <c r="G151" i="18"/>
  <c r="G293" i="18"/>
  <c r="G287" i="18"/>
  <c r="G220" i="18"/>
  <c r="G301" i="18"/>
  <c r="G256" i="18"/>
  <c r="G171" i="18"/>
  <c r="G74" i="18"/>
  <c r="G38" i="18"/>
  <c r="G94" i="18"/>
  <c r="G39" i="18"/>
  <c r="G211" i="18"/>
  <c r="G112" i="18"/>
  <c r="G86" i="18"/>
  <c r="G146" i="18"/>
  <c r="G75" i="18"/>
  <c r="G35" i="18"/>
  <c r="G79" i="18"/>
  <c r="G48" i="18"/>
  <c r="G283" i="18"/>
  <c r="G174" i="18"/>
  <c r="G69" i="18"/>
  <c r="G16" i="18"/>
  <c r="G248" i="18"/>
  <c r="G260" i="18"/>
  <c r="G93" i="18"/>
  <c r="G41" i="18"/>
  <c r="G11" i="18"/>
  <c r="G76" i="18"/>
  <c r="G73" i="18"/>
  <c r="G191" i="18"/>
  <c r="G27" i="18"/>
  <c r="G44" i="18"/>
  <c r="G57" i="18"/>
  <c r="G59" i="18"/>
  <c r="H59" i="18" s="1"/>
  <c r="X62" i="22" s="1"/>
  <c r="P64" i="9" s="1"/>
  <c r="Q64" i="9" s="1"/>
  <c r="G90" i="18"/>
  <c r="G19" i="18"/>
  <c r="G159" i="18"/>
  <c r="G153" i="18"/>
  <c r="G206" i="18"/>
  <c r="G42" i="18"/>
  <c r="G176" i="18"/>
  <c r="G121" i="18"/>
  <c r="G155" i="18"/>
  <c r="G123" i="18"/>
  <c r="G20" i="18"/>
  <c r="H186" i="18"/>
  <c r="X189" i="22" s="1"/>
  <c r="P191" i="9" s="1"/>
  <c r="Q191" i="9" s="1"/>
  <c r="H30" i="18"/>
  <c r="X33" i="22" s="1"/>
  <c r="P35" i="9" s="1"/>
  <c r="Q35" i="9" s="1"/>
  <c r="H120" i="18"/>
  <c r="X123" i="22" s="1"/>
  <c r="P125" i="9" s="1"/>
  <c r="Q125" i="9" s="1"/>
  <c r="G15" i="18"/>
  <c r="G12" i="18"/>
  <c r="G84" i="18"/>
  <c r="G200" i="18"/>
  <c r="G249" i="18"/>
  <c r="G115" i="18"/>
  <c r="G290" i="18"/>
  <c r="G227" i="18"/>
  <c r="G106" i="18"/>
  <c r="G282" i="18"/>
  <c r="G100" i="18"/>
  <c r="G183" i="18"/>
  <c r="M233" i="18" l="1"/>
  <c r="F236" i="22" s="1"/>
  <c r="T238" i="10" s="1"/>
  <c r="F238" i="10" s="1"/>
  <c r="M304" i="18"/>
  <c r="O304" i="18"/>
  <c r="L304" i="18"/>
  <c r="C307" i="22" s="1"/>
  <c r="AA38" i="13"/>
  <c r="AB10" i="13"/>
  <c r="AB38" i="13" s="1"/>
  <c r="L233" i="18"/>
  <c r="C236" i="22" s="1"/>
  <c r="N10" i="18"/>
  <c r="M10" i="18"/>
  <c r="L10" i="18"/>
  <c r="C13" i="22" s="1"/>
  <c r="N233" i="18"/>
  <c r="X313" i="10"/>
  <c r="X317" i="10"/>
  <c r="W317" i="10"/>
  <c r="X320" i="10"/>
  <c r="W320" i="10"/>
  <c r="X321" i="10"/>
  <c r="I95" i="18"/>
  <c r="O95" i="18" s="1"/>
  <c r="I104" i="18"/>
  <c r="N104" i="18" s="1"/>
  <c r="H129" i="18"/>
  <c r="X132" i="22" s="1"/>
  <c r="P134" i="9" s="1"/>
  <c r="Q134" i="9" s="1"/>
  <c r="I140" i="18"/>
  <c r="L140" i="18" s="1"/>
  <c r="C143" i="22" s="1"/>
  <c r="H238" i="18"/>
  <c r="X241" i="22" s="1"/>
  <c r="P243" i="9" s="1"/>
  <c r="Q243" i="9" s="1"/>
  <c r="H294" i="18"/>
  <c r="X297" i="22" s="1"/>
  <c r="P299" i="9" s="1"/>
  <c r="Q299" i="9" s="1"/>
  <c r="H156" i="18"/>
  <c r="X159" i="22" s="1"/>
  <c r="P161" i="9" s="1"/>
  <c r="Q161" i="9" s="1"/>
  <c r="H91" i="18"/>
  <c r="X94" i="22" s="1"/>
  <c r="P96" i="9" s="1"/>
  <c r="Q96" i="9" s="1"/>
  <c r="I120" i="18"/>
  <c r="O120" i="18" s="1"/>
  <c r="H247" i="18"/>
  <c r="X250" i="22" s="1"/>
  <c r="P252" i="9" s="1"/>
  <c r="Q252" i="9" s="1"/>
  <c r="H197" i="18"/>
  <c r="X200" i="22" s="1"/>
  <c r="P202" i="9" s="1"/>
  <c r="Q202" i="9" s="1"/>
  <c r="I291" i="18"/>
  <c r="I164" i="18"/>
  <c r="I218" i="18"/>
  <c r="M218" i="18" s="1"/>
  <c r="H206" i="18"/>
  <c r="X208" i="22" s="1"/>
  <c r="P211" i="9" s="1"/>
  <c r="Q211" i="9" s="1"/>
  <c r="H19" i="18"/>
  <c r="X22" i="22" s="1"/>
  <c r="P24" i="9" s="1"/>
  <c r="Q24" i="9" s="1"/>
  <c r="H44" i="18"/>
  <c r="X47" i="22" s="1"/>
  <c r="P49" i="9" s="1"/>
  <c r="Q49" i="9" s="1"/>
  <c r="H260" i="18"/>
  <c r="X263" i="22" s="1"/>
  <c r="P265" i="9" s="1"/>
  <c r="Q265" i="9" s="1"/>
  <c r="H79" i="18"/>
  <c r="X82" i="22" s="1"/>
  <c r="P84" i="9" s="1"/>
  <c r="Q84" i="9" s="1"/>
  <c r="H39" i="18"/>
  <c r="X42" i="22" s="1"/>
  <c r="P44" i="9" s="1"/>
  <c r="Q44" i="9" s="1"/>
  <c r="H287" i="18"/>
  <c r="X290" i="22" s="1"/>
  <c r="P292" i="9" s="1"/>
  <c r="Q292" i="9" s="1"/>
  <c r="H25" i="18"/>
  <c r="X28" i="22" s="1"/>
  <c r="P30" i="9" s="1"/>
  <c r="Q30" i="9" s="1"/>
  <c r="H182" i="18"/>
  <c r="X185" i="22" s="1"/>
  <c r="P187" i="9" s="1"/>
  <c r="Q187" i="9" s="1"/>
  <c r="H58" i="18"/>
  <c r="X61" i="22" s="1"/>
  <c r="P63" i="9" s="1"/>
  <c r="Q63" i="9" s="1"/>
  <c r="H68" i="18"/>
  <c r="X71" i="22" s="1"/>
  <c r="P73" i="9" s="1"/>
  <c r="Q73" i="9" s="1"/>
  <c r="H50" i="18"/>
  <c r="X53" i="22" s="1"/>
  <c r="P55" i="9" s="1"/>
  <c r="Q55" i="9" s="1"/>
  <c r="H217" i="18"/>
  <c r="X220" i="22" s="1"/>
  <c r="P222" i="9" s="1"/>
  <c r="Q222" i="9" s="1"/>
  <c r="I240" i="18"/>
  <c r="H131" i="18"/>
  <c r="X134" i="22" s="1"/>
  <c r="P136" i="9" s="1"/>
  <c r="Q136" i="9" s="1"/>
  <c r="H292" i="18"/>
  <c r="X295" i="22" s="1"/>
  <c r="P297" i="9" s="1"/>
  <c r="Q297" i="9" s="1"/>
  <c r="H234" i="18"/>
  <c r="X237" i="22" s="1"/>
  <c r="P239" i="9" s="1"/>
  <c r="Q239" i="9" s="1"/>
  <c r="H194" i="18"/>
  <c r="X197" i="22" s="1"/>
  <c r="P199" i="9" s="1"/>
  <c r="Q199" i="9" s="1"/>
  <c r="H23" i="18"/>
  <c r="X26" i="22" s="1"/>
  <c r="P28" i="9" s="1"/>
  <c r="Q28" i="9" s="1"/>
  <c r="H275" i="18"/>
  <c r="X278" i="22" s="1"/>
  <c r="P280" i="9" s="1"/>
  <c r="Q280" i="9" s="1"/>
  <c r="H214" i="18"/>
  <c r="X217" i="22" s="1"/>
  <c r="P219" i="9" s="1"/>
  <c r="Q219" i="9" s="1"/>
  <c r="H61" i="18"/>
  <c r="X64" i="22" s="1"/>
  <c r="P66" i="9" s="1"/>
  <c r="Q66" i="9" s="1"/>
  <c r="H235" i="18"/>
  <c r="X238" i="22" s="1"/>
  <c r="P240" i="9" s="1"/>
  <c r="Q240" i="9" s="1"/>
  <c r="H139" i="18"/>
  <c r="X142" i="22" s="1"/>
  <c r="P144" i="9" s="1"/>
  <c r="Q144" i="9" s="1"/>
  <c r="H262" i="18"/>
  <c r="X265" i="22" s="1"/>
  <c r="P267" i="9" s="1"/>
  <c r="Q267" i="9" s="1"/>
  <c r="H71" i="18"/>
  <c r="X74" i="22" s="1"/>
  <c r="P76" i="9" s="1"/>
  <c r="Q76" i="9" s="1"/>
  <c r="H190" i="18"/>
  <c r="X193" i="22" s="1"/>
  <c r="P195" i="9" s="1"/>
  <c r="Q195" i="9" s="1"/>
  <c r="H242" i="18"/>
  <c r="X245" i="22" s="1"/>
  <c r="P247" i="9" s="1"/>
  <c r="Q247" i="9" s="1"/>
  <c r="I274" i="18"/>
  <c r="H306" i="18"/>
  <c r="X309" i="22" s="1"/>
  <c r="P311" i="9" s="1"/>
  <c r="Q311" i="9" s="1"/>
  <c r="H244" i="18"/>
  <c r="X247" i="22" s="1"/>
  <c r="P249" i="9" s="1"/>
  <c r="Q249" i="9" s="1"/>
  <c r="H98" i="18"/>
  <c r="X101" i="22" s="1"/>
  <c r="P103" i="9" s="1"/>
  <c r="Q103" i="9" s="1"/>
  <c r="H259" i="18"/>
  <c r="X262" i="22" s="1"/>
  <c r="P264" i="9" s="1"/>
  <c r="Q264" i="9" s="1"/>
  <c r="H52" i="18"/>
  <c r="X55" i="22" s="1"/>
  <c r="P57" i="9" s="1"/>
  <c r="Q57" i="9" s="1"/>
  <c r="H49" i="18"/>
  <c r="X52" i="22" s="1"/>
  <c r="P54" i="9" s="1"/>
  <c r="Q54" i="9" s="1"/>
  <c r="H64" i="18"/>
  <c r="X67" i="22" s="1"/>
  <c r="P69" i="9" s="1"/>
  <c r="Q69" i="9" s="1"/>
  <c r="H178" i="18"/>
  <c r="X181" i="22" s="1"/>
  <c r="P183" i="9" s="1"/>
  <c r="Q183" i="9" s="1"/>
  <c r="H27" i="18"/>
  <c r="X30" i="22" s="1"/>
  <c r="P32" i="9" s="1"/>
  <c r="Q32" i="9" s="1"/>
  <c r="H76" i="18"/>
  <c r="X79" i="22" s="1"/>
  <c r="P81" i="9" s="1"/>
  <c r="Q81" i="9" s="1"/>
  <c r="H174" i="18"/>
  <c r="X177" i="22" s="1"/>
  <c r="P179" i="9" s="1"/>
  <c r="Q179" i="9" s="1"/>
  <c r="H112" i="18"/>
  <c r="X115" i="22" s="1"/>
  <c r="P117" i="9" s="1"/>
  <c r="Q117" i="9" s="1"/>
  <c r="H211" i="18"/>
  <c r="X214" i="22" s="1"/>
  <c r="P216" i="9" s="1"/>
  <c r="Q216" i="9" s="1"/>
  <c r="H171" i="18"/>
  <c r="X174" i="22" s="1"/>
  <c r="P176" i="9" s="1"/>
  <c r="Q176" i="9" s="1"/>
  <c r="H150" i="18"/>
  <c r="X153" i="22" s="1"/>
  <c r="P155" i="9" s="1"/>
  <c r="Q155" i="9" s="1"/>
  <c r="H8" i="18"/>
  <c r="X11" i="22" s="1"/>
  <c r="P13" i="9" s="1"/>
  <c r="Q13" i="9" s="1"/>
  <c r="H102" i="18"/>
  <c r="X105" i="22" s="1"/>
  <c r="P107" i="9" s="1"/>
  <c r="Q107" i="9" s="1"/>
  <c r="H263" i="18"/>
  <c r="X266" i="22" s="1"/>
  <c r="P268" i="9" s="1"/>
  <c r="Q268" i="9" s="1"/>
  <c r="H148" i="18"/>
  <c r="X151" i="22" s="1"/>
  <c r="P153" i="9" s="1"/>
  <c r="Q153" i="9" s="1"/>
  <c r="H237" i="18"/>
  <c r="X240" i="22" s="1"/>
  <c r="P242" i="9" s="1"/>
  <c r="Q242" i="9" s="1"/>
  <c r="H271" i="18"/>
  <c r="X274" i="22" s="1"/>
  <c r="P276" i="9" s="1"/>
  <c r="Q276" i="9" s="1"/>
  <c r="H212" i="18"/>
  <c r="X215" i="22" s="1"/>
  <c r="P217" i="9" s="1"/>
  <c r="Q217" i="9" s="1"/>
  <c r="H111" i="18"/>
  <c r="X114" i="22" s="1"/>
  <c r="P116" i="9" s="1"/>
  <c r="Q116" i="9" s="1"/>
  <c r="H70" i="18"/>
  <c r="X73" i="22" s="1"/>
  <c r="P75" i="9" s="1"/>
  <c r="Q75" i="9" s="1"/>
  <c r="H116" i="18"/>
  <c r="X119" i="22" s="1"/>
  <c r="P121" i="9" s="1"/>
  <c r="Q121" i="9" s="1"/>
  <c r="H177" i="18"/>
  <c r="X180" i="22" s="1"/>
  <c r="P182" i="9" s="1"/>
  <c r="Q182" i="9" s="1"/>
  <c r="H195" i="18"/>
  <c r="X198" i="22" s="1"/>
  <c r="P200" i="9" s="1"/>
  <c r="Q200" i="9" s="1"/>
  <c r="H22" i="18"/>
  <c r="X25" i="22" s="1"/>
  <c r="P27" i="9" s="1"/>
  <c r="Q27" i="9" s="1"/>
  <c r="H99" i="18"/>
  <c r="X102" i="22" s="1"/>
  <c r="P104" i="9" s="1"/>
  <c r="Q104" i="9" s="1"/>
  <c r="H87" i="18"/>
  <c r="X90" i="22" s="1"/>
  <c r="P92" i="9" s="1"/>
  <c r="Q92" i="9" s="1"/>
  <c r="H280" i="18"/>
  <c r="X283" i="22" s="1"/>
  <c r="P285" i="9" s="1"/>
  <c r="Q285" i="9" s="1"/>
  <c r="H21" i="18"/>
  <c r="X24" i="22" s="1"/>
  <c r="P26" i="9" s="1"/>
  <c r="Q26" i="9" s="1"/>
  <c r="H157" i="18"/>
  <c r="X160" i="22" s="1"/>
  <c r="P162" i="9" s="1"/>
  <c r="Q162" i="9" s="1"/>
  <c r="H133" i="18"/>
  <c r="X136" i="22" s="1"/>
  <c r="P138" i="9" s="1"/>
  <c r="Q138" i="9" s="1"/>
  <c r="H89" i="18"/>
  <c r="X92" i="22" s="1"/>
  <c r="P94" i="9" s="1"/>
  <c r="Q94" i="9" s="1"/>
  <c r="H193" i="18"/>
  <c r="X196" i="22" s="1"/>
  <c r="P198" i="9" s="1"/>
  <c r="Q198" i="9" s="1"/>
  <c r="H101" i="18"/>
  <c r="X104" i="22" s="1"/>
  <c r="P106" i="9" s="1"/>
  <c r="Q106" i="9" s="1"/>
  <c r="H37" i="18"/>
  <c r="X40" i="22" s="1"/>
  <c r="P42" i="9" s="1"/>
  <c r="Q42" i="9" s="1"/>
  <c r="H222" i="18"/>
  <c r="X225" i="22" s="1"/>
  <c r="P227" i="9" s="1"/>
  <c r="Q227" i="9" s="1"/>
  <c r="H243" i="18"/>
  <c r="X246" i="22" s="1"/>
  <c r="P248" i="9" s="1"/>
  <c r="Q248" i="9" s="1"/>
  <c r="H66" i="18"/>
  <c r="X69" i="22" s="1"/>
  <c r="P71" i="9" s="1"/>
  <c r="Q71" i="9" s="1"/>
  <c r="H90" i="18"/>
  <c r="X93" i="22" s="1"/>
  <c r="P95" i="9" s="1"/>
  <c r="Q95" i="9" s="1"/>
  <c r="I59" i="18"/>
  <c r="H16" i="18"/>
  <c r="X19" i="22" s="1"/>
  <c r="P21" i="9" s="1"/>
  <c r="Q21" i="9" s="1"/>
  <c r="H86" i="18"/>
  <c r="X89" i="22" s="1"/>
  <c r="P91" i="9" s="1"/>
  <c r="Q91" i="9" s="1"/>
  <c r="H301" i="18"/>
  <c r="X304" i="22" s="1"/>
  <c r="P307" i="9" s="1"/>
  <c r="Q307" i="9" s="1"/>
  <c r="H103" i="18"/>
  <c r="X106" i="22" s="1"/>
  <c r="P108" i="9" s="1"/>
  <c r="Q108" i="9" s="1"/>
  <c r="H18" i="18"/>
  <c r="X21" i="22" s="1"/>
  <c r="P23" i="9" s="1"/>
  <c r="Q23" i="9" s="1"/>
  <c r="H300" i="18"/>
  <c r="X303" i="22" s="1"/>
  <c r="P306" i="9" s="1"/>
  <c r="Q306" i="9" s="1"/>
  <c r="H188" i="18"/>
  <c r="X191" i="22" s="1"/>
  <c r="P193" i="9" s="1"/>
  <c r="Q193" i="9" s="1"/>
  <c r="H169" i="18"/>
  <c r="X172" i="22" s="1"/>
  <c r="P174" i="9" s="1"/>
  <c r="Q174" i="9" s="1"/>
  <c r="H264" i="18"/>
  <c r="X267" i="22" s="1"/>
  <c r="P269" i="9" s="1"/>
  <c r="Q269" i="9" s="1"/>
  <c r="H295" i="18"/>
  <c r="X298" i="22" s="1"/>
  <c r="P300" i="9" s="1"/>
  <c r="Q300" i="9" s="1"/>
  <c r="H162" i="18"/>
  <c r="X165" i="22" s="1"/>
  <c r="P167" i="9" s="1"/>
  <c r="Q167" i="9" s="1"/>
  <c r="H246" i="18"/>
  <c r="X249" i="22" s="1"/>
  <c r="P251" i="9" s="1"/>
  <c r="Q251" i="9" s="1"/>
  <c r="H137" i="18"/>
  <c r="X140" i="22" s="1"/>
  <c r="P142" i="9" s="1"/>
  <c r="Q142" i="9" s="1"/>
  <c r="H26" i="18"/>
  <c r="X29" i="22" s="1"/>
  <c r="P31" i="9" s="1"/>
  <c r="Q31" i="9" s="1"/>
  <c r="H88" i="18"/>
  <c r="X91" i="22" s="1"/>
  <c r="P93" i="9" s="1"/>
  <c r="Q93" i="9" s="1"/>
  <c r="H125" i="18"/>
  <c r="X128" i="22" s="1"/>
  <c r="P130" i="9" s="1"/>
  <c r="Q130" i="9" s="1"/>
  <c r="H109" i="18"/>
  <c r="X112" i="22" s="1"/>
  <c r="P114" i="9" s="1"/>
  <c r="Q114" i="9" s="1"/>
  <c r="H29" i="18"/>
  <c r="X32" i="22" s="1"/>
  <c r="P34" i="9" s="1"/>
  <c r="Q34" i="9" s="1"/>
  <c r="H149" i="18"/>
  <c r="X152" i="22" s="1"/>
  <c r="P154" i="9" s="1"/>
  <c r="Q154" i="9" s="1"/>
  <c r="H232" i="18"/>
  <c r="X235" i="22" s="1"/>
  <c r="P237" i="9" s="1"/>
  <c r="Q237" i="9" s="1"/>
  <c r="H231" i="18"/>
  <c r="X234" i="22" s="1"/>
  <c r="P236" i="9" s="1"/>
  <c r="Q236" i="9" s="1"/>
  <c r="H126" i="18"/>
  <c r="X129" i="22" s="1"/>
  <c r="P131" i="9" s="1"/>
  <c r="Q131" i="9" s="1"/>
  <c r="H46" i="18"/>
  <c r="X49" i="22" s="1"/>
  <c r="P51" i="9" s="1"/>
  <c r="Q51" i="9" s="1"/>
  <c r="H51" i="18"/>
  <c r="X54" i="22" s="1"/>
  <c r="P56" i="9" s="1"/>
  <c r="Q56" i="9" s="1"/>
  <c r="H152" i="18"/>
  <c r="X155" i="22" s="1"/>
  <c r="P157" i="9" s="1"/>
  <c r="Q157" i="9" s="1"/>
  <c r="H47" i="18"/>
  <c r="X50" i="22" s="1"/>
  <c r="P52" i="9" s="1"/>
  <c r="Q52" i="9" s="1"/>
  <c r="H153" i="18"/>
  <c r="X156" i="22" s="1"/>
  <c r="P158" i="9" s="1"/>
  <c r="Q158" i="9" s="1"/>
  <c r="H73" i="18"/>
  <c r="X76" i="22" s="1"/>
  <c r="P78" i="9" s="1"/>
  <c r="Q78" i="9" s="1"/>
  <c r="H283" i="18"/>
  <c r="X286" i="22" s="1"/>
  <c r="P288" i="9" s="1"/>
  <c r="Q288" i="9" s="1"/>
  <c r="H48" i="18"/>
  <c r="X51" i="22" s="1"/>
  <c r="P53" i="9" s="1"/>
  <c r="Q53" i="9" s="1"/>
  <c r="H75" i="18"/>
  <c r="X78" i="22" s="1"/>
  <c r="P80" i="9" s="1"/>
  <c r="Q80" i="9" s="1"/>
  <c r="H151" i="18"/>
  <c r="X154" i="22" s="1"/>
  <c r="P156" i="9" s="1"/>
  <c r="Q156" i="9" s="1"/>
  <c r="H225" i="18"/>
  <c r="X228" i="22" s="1"/>
  <c r="P230" i="9" s="1"/>
  <c r="Q230" i="9" s="1"/>
  <c r="H179" i="18"/>
  <c r="X182" i="22" s="1"/>
  <c r="P184" i="9" s="1"/>
  <c r="Q184" i="9" s="1"/>
  <c r="H307" i="18"/>
  <c r="X310" i="22" s="1"/>
  <c r="P312" i="9" s="1"/>
  <c r="Q312" i="9" s="1"/>
  <c r="H45" i="18"/>
  <c r="X48" i="22" s="1"/>
  <c r="P50" i="9" s="1"/>
  <c r="Q50" i="9" s="1"/>
  <c r="H251" i="18"/>
  <c r="X254" i="22" s="1"/>
  <c r="P256" i="9" s="1"/>
  <c r="Q256" i="9" s="1"/>
  <c r="H254" i="18"/>
  <c r="X257" i="22" s="1"/>
  <c r="P259" i="9" s="1"/>
  <c r="Q259" i="9" s="1"/>
  <c r="I31" i="18"/>
  <c r="H144" i="18"/>
  <c r="X147" i="22" s="1"/>
  <c r="P149" i="9" s="1"/>
  <c r="Q149" i="9" s="1"/>
  <c r="H245" i="18"/>
  <c r="X248" i="22" s="1"/>
  <c r="P250" i="9" s="1"/>
  <c r="Q250" i="9" s="1"/>
  <c r="H224" i="18"/>
  <c r="X227" i="22" s="1"/>
  <c r="P229" i="9" s="1"/>
  <c r="Q229" i="9" s="1"/>
  <c r="H297" i="18"/>
  <c r="X300" i="22" s="1"/>
  <c r="P302" i="9" s="1"/>
  <c r="Q302" i="9" s="1"/>
  <c r="H142" i="18"/>
  <c r="X145" i="22" s="1"/>
  <c r="P147" i="9" s="1"/>
  <c r="Q147" i="9" s="1"/>
  <c r="H67" i="18"/>
  <c r="X70" i="22" s="1"/>
  <c r="P72" i="9" s="1"/>
  <c r="Q72" i="9" s="1"/>
  <c r="H198" i="18"/>
  <c r="X201" i="22" s="1"/>
  <c r="P203" i="9" s="1"/>
  <c r="Q203" i="9" s="1"/>
  <c r="H108" i="18"/>
  <c r="X111" i="22" s="1"/>
  <c r="P113" i="9" s="1"/>
  <c r="Q113" i="9" s="1"/>
  <c r="H135" i="18"/>
  <c r="X138" i="22" s="1"/>
  <c r="P140" i="9" s="1"/>
  <c r="Q140" i="9" s="1"/>
  <c r="H273" i="18"/>
  <c r="X276" i="22" s="1"/>
  <c r="P278" i="9" s="1"/>
  <c r="Q278" i="9" s="1"/>
  <c r="H229" i="18"/>
  <c r="X232" i="22" s="1"/>
  <c r="P234" i="9" s="1"/>
  <c r="Q234" i="9" s="1"/>
  <c r="H279" i="18"/>
  <c r="X282" i="22" s="1"/>
  <c r="P284" i="9" s="1"/>
  <c r="Q284" i="9" s="1"/>
  <c r="H154" i="18"/>
  <c r="X157" i="22" s="1"/>
  <c r="P159" i="9" s="1"/>
  <c r="Q159" i="9" s="1"/>
  <c r="H207" i="18"/>
  <c r="X210" i="22" s="1"/>
  <c r="P212" i="9" s="1"/>
  <c r="Q212" i="9" s="1"/>
  <c r="H13" i="18"/>
  <c r="X16" i="22" s="1"/>
  <c r="P18" i="9" s="1"/>
  <c r="Q18" i="9" s="1"/>
  <c r="H134" i="18"/>
  <c r="X137" i="22" s="1"/>
  <c r="P139" i="9" s="1"/>
  <c r="Q139" i="9" s="1"/>
  <c r="H204" i="18"/>
  <c r="X206" i="22" s="1"/>
  <c r="P209" i="9" s="1"/>
  <c r="Q209" i="9" s="1"/>
  <c r="H288" i="18"/>
  <c r="X291" i="22" s="1"/>
  <c r="P293" i="9" s="1"/>
  <c r="Q293" i="9" s="1"/>
  <c r="H286" i="18"/>
  <c r="X289" i="22" s="1"/>
  <c r="P291" i="9" s="1"/>
  <c r="Q291" i="9" s="1"/>
  <c r="H215" i="18"/>
  <c r="X218" i="22" s="1"/>
  <c r="P220" i="9" s="1"/>
  <c r="Q220" i="9" s="1"/>
  <c r="H159" i="18"/>
  <c r="X162" i="22" s="1"/>
  <c r="P164" i="9" s="1"/>
  <c r="Q164" i="9" s="1"/>
  <c r="H191" i="18"/>
  <c r="X194" i="22" s="1"/>
  <c r="P196" i="9" s="1"/>
  <c r="Q196" i="9" s="1"/>
  <c r="H41" i="18"/>
  <c r="X44" i="22" s="1"/>
  <c r="P46" i="9" s="1"/>
  <c r="Q46" i="9" s="1"/>
  <c r="H146" i="18"/>
  <c r="X149" i="22" s="1"/>
  <c r="P151" i="9" s="1"/>
  <c r="Q151" i="9" s="1"/>
  <c r="H38" i="18"/>
  <c r="X41" i="22" s="1"/>
  <c r="P43" i="9" s="1"/>
  <c r="Q43" i="9" s="1"/>
  <c r="H293" i="18"/>
  <c r="X296" i="22" s="1"/>
  <c r="P298" i="9" s="1"/>
  <c r="Q298" i="9" s="1"/>
  <c r="H236" i="18"/>
  <c r="X239" i="22" s="1"/>
  <c r="P241" i="9" s="1"/>
  <c r="Q241" i="9" s="1"/>
  <c r="H14" i="18"/>
  <c r="X17" i="22" s="1"/>
  <c r="P19" i="9" s="1"/>
  <c r="Q19" i="9" s="1"/>
  <c r="H80" i="18"/>
  <c r="X83" i="22" s="1"/>
  <c r="P85" i="9" s="1"/>
  <c r="Q85" i="9" s="1"/>
  <c r="H289" i="18"/>
  <c r="X292" i="22" s="1"/>
  <c r="P294" i="9" s="1"/>
  <c r="Q294" i="9" s="1"/>
  <c r="I7" i="18"/>
  <c r="I216" i="18"/>
  <c r="H284" i="18"/>
  <c r="X287" i="22" s="1"/>
  <c r="P289" i="9" s="1"/>
  <c r="Q289" i="9" s="1"/>
  <c r="H209" i="18"/>
  <c r="X212" i="22" s="1"/>
  <c r="P214" i="9" s="1"/>
  <c r="Q214" i="9" s="1"/>
  <c r="H269" i="18"/>
  <c r="X272" i="22" s="1"/>
  <c r="P274" i="9" s="1"/>
  <c r="Q274" i="9" s="1"/>
  <c r="H277" i="18"/>
  <c r="X280" i="22" s="1"/>
  <c r="P282" i="9" s="1"/>
  <c r="Q282" i="9" s="1"/>
  <c r="H107" i="18"/>
  <c r="X110" i="22" s="1"/>
  <c r="P112" i="9" s="1"/>
  <c r="Q112" i="9" s="1"/>
  <c r="H122" i="18"/>
  <c r="X125" i="22" s="1"/>
  <c r="P127" i="9" s="1"/>
  <c r="H196" i="18"/>
  <c r="X199" i="22" s="1"/>
  <c r="P201" i="9" s="1"/>
  <c r="Q201" i="9" s="1"/>
  <c r="H261" i="18"/>
  <c r="X264" i="22" s="1"/>
  <c r="P266" i="9" s="1"/>
  <c r="Q266" i="9" s="1"/>
  <c r="I65" i="18"/>
  <c r="H97" i="18"/>
  <c r="X100" i="22" s="1"/>
  <c r="P102" i="9" s="1"/>
  <c r="Q102" i="9" s="1"/>
  <c r="H170" i="18"/>
  <c r="X173" i="22" s="1"/>
  <c r="P175" i="9" s="1"/>
  <c r="Q175" i="9" s="1"/>
  <c r="H105" i="18"/>
  <c r="X108" i="22" s="1"/>
  <c r="P110" i="9" s="1"/>
  <c r="Q110" i="9" s="1"/>
  <c r="H36" i="18"/>
  <c r="X39" i="22" s="1"/>
  <c r="P41" i="9" s="1"/>
  <c r="Q41" i="9" s="1"/>
  <c r="H141" i="18"/>
  <c r="X144" i="22" s="1"/>
  <c r="P146" i="9" s="1"/>
  <c r="Q146" i="9" s="1"/>
  <c r="H208" i="18"/>
  <c r="X211" i="22" s="1"/>
  <c r="P213" i="9" s="1"/>
  <c r="Q213" i="9" s="1"/>
  <c r="H167" i="18"/>
  <c r="X170" i="22" s="1"/>
  <c r="P172" i="9" s="1"/>
  <c r="Q172" i="9" s="1"/>
  <c r="H258" i="18"/>
  <c r="X261" i="22" s="1"/>
  <c r="P263" i="9" s="1"/>
  <c r="Q263" i="9" s="1"/>
  <c r="H199" i="18"/>
  <c r="X202" i="22" s="1"/>
  <c r="P204" i="9" s="1"/>
  <c r="Q204" i="9" s="1"/>
  <c r="H265" i="18"/>
  <c r="X268" i="22" s="1"/>
  <c r="P270" i="9" s="1"/>
  <c r="Q270" i="9" s="1"/>
  <c r="H296" i="18"/>
  <c r="X299" i="22" s="1"/>
  <c r="P301" i="9" s="1"/>
  <c r="Q301" i="9" s="1"/>
  <c r="H165" i="18"/>
  <c r="X168" i="22" s="1"/>
  <c r="P170" i="9" s="1"/>
  <c r="Q170" i="9" s="1"/>
  <c r="H163" i="18"/>
  <c r="X166" i="22" s="1"/>
  <c r="P168" i="9" s="1"/>
  <c r="Q168" i="9" s="1"/>
  <c r="H119" i="18"/>
  <c r="X122" i="22" s="1"/>
  <c r="P124" i="9" s="1"/>
  <c r="Q124" i="9" s="1"/>
  <c r="H175" i="18"/>
  <c r="X178" i="22" s="1"/>
  <c r="P180" i="9" s="1"/>
  <c r="Q180" i="9" s="1"/>
  <c r="I56" i="18"/>
  <c r="M56" i="18" s="1"/>
  <c r="H11" i="18"/>
  <c r="X14" i="22" s="1"/>
  <c r="P16" i="9" s="1"/>
  <c r="Q16" i="9" s="1"/>
  <c r="H35" i="18"/>
  <c r="X38" i="22" s="1"/>
  <c r="P40" i="9" s="1"/>
  <c r="Q40" i="9" s="1"/>
  <c r="H94" i="18"/>
  <c r="X97" i="22" s="1"/>
  <c r="P99" i="9" s="1"/>
  <c r="Q99" i="9" s="1"/>
  <c r="H74" i="18"/>
  <c r="X77" i="22" s="1"/>
  <c r="P79" i="9" s="1"/>
  <c r="Q79" i="9" s="1"/>
  <c r="H276" i="18"/>
  <c r="X279" i="22" s="1"/>
  <c r="P281" i="9" s="1"/>
  <c r="Q281" i="9" s="1"/>
  <c r="H221" i="18"/>
  <c r="X224" i="22" s="1"/>
  <c r="P226" i="9" s="1"/>
  <c r="Q226" i="9" s="1"/>
  <c r="H113" i="18"/>
  <c r="X116" i="22" s="1"/>
  <c r="P118" i="9" s="1"/>
  <c r="Q118" i="9" s="1"/>
  <c r="H124" i="18"/>
  <c r="X127" i="22" s="1"/>
  <c r="P129" i="9" s="1"/>
  <c r="Q129" i="9" s="1"/>
  <c r="H252" i="18"/>
  <c r="X255" i="22" s="1"/>
  <c r="P257" i="9" s="1"/>
  <c r="Q257" i="9" s="1"/>
  <c r="H63" i="18"/>
  <c r="X66" i="22" s="1"/>
  <c r="P68" i="9" s="1"/>
  <c r="Q68" i="9" s="1"/>
  <c r="H272" i="18"/>
  <c r="X275" i="22" s="1"/>
  <c r="P277" i="9" s="1"/>
  <c r="Q277" i="9" s="1"/>
  <c r="H6" i="18"/>
  <c r="X9" i="22" s="1"/>
  <c r="P11" i="9" s="1"/>
  <c r="Q11" i="9" s="1"/>
  <c r="H303" i="18"/>
  <c r="X306" i="22" s="1"/>
  <c r="P309" i="9" s="1"/>
  <c r="Q309" i="9" s="1"/>
  <c r="H28" i="18"/>
  <c r="X31" i="22" s="1"/>
  <c r="P33" i="9" s="1"/>
  <c r="Q33" i="9" s="1"/>
  <c r="H166" i="18"/>
  <c r="X169" i="22" s="1"/>
  <c r="P171" i="9" s="1"/>
  <c r="Q171" i="9" s="1"/>
  <c r="H160" i="18"/>
  <c r="X163" i="22" s="1"/>
  <c r="P165" i="9" s="1"/>
  <c r="Q165" i="9" s="1"/>
  <c r="H110" i="18"/>
  <c r="X113" i="22" s="1"/>
  <c r="P115" i="9" s="1"/>
  <c r="Q115" i="9" s="1"/>
  <c r="H132" i="18"/>
  <c r="X135" i="22" s="1"/>
  <c r="P137" i="9" s="1"/>
  <c r="Q137" i="9" s="1"/>
  <c r="H180" i="18"/>
  <c r="X183" i="22" s="1"/>
  <c r="P185" i="9" s="1"/>
  <c r="Q185" i="9" s="1"/>
  <c r="H130" i="18"/>
  <c r="X133" i="22" s="1"/>
  <c r="P135" i="9" s="1"/>
  <c r="Q135" i="9" s="1"/>
  <c r="H210" i="18"/>
  <c r="X213" i="22" s="1"/>
  <c r="P215" i="9" s="1"/>
  <c r="Q215" i="9" s="1"/>
  <c r="H118" i="18"/>
  <c r="X121" i="22" s="1"/>
  <c r="P123" i="9" s="1"/>
  <c r="Q123" i="9" s="1"/>
  <c r="H241" i="18"/>
  <c r="X244" i="22" s="1"/>
  <c r="P246" i="9" s="1"/>
  <c r="Q246" i="9" s="1"/>
  <c r="H145" i="18"/>
  <c r="X148" i="22" s="1"/>
  <c r="P150" i="9" s="1"/>
  <c r="Q150" i="9" s="1"/>
  <c r="H114" i="18"/>
  <c r="X117" i="22" s="1"/>
  <c r="P119" i="9" s="1"/>
  <c r="Q119" i="9" s="1"/>
  <c r="H136" i="18"/>
  <c r="X139" i="22" s="1"/>
  <c r="P141" i="9" s="1"/>
  <c r="Q141" i="9" s="1"/>
  <c r="H161" i="18"/>
  <c r="X164" i="22" s="1"/>
  <c r="P166" i="9" s="1"/>
  <c r="Q166" i="9" s="1"/>
  <c r="H189" i="18"/>
  <c r="X192" i="22" s="1"/>
  <c r="P194" i="9" s="1"/>
  <c r="Q194" i="9" s="1"/>
  <c r="H228" i="18"/>
  <c r="X231" i="22" s="1"/>
  <c r="P233" i="9" s="1"/>
  <c r="Q233" i="9" s="1"/>
  <c r="H92" i="18"/>
  <c r="X95" i="22" s="1"/>
  <c r="P97" i="9" s="1"/>
  <c r="Q97" i="9" s="1"/>
  <c r="H268" i="18"/>
  <c r="X271" i="22" s="1"/>
  <c r="P273" i="9" s="1"/>
  <c r="Q273" i="9" s="1"/>
  <c r="H305" i="18"/>
  <c r="X308" i="22" s="1"/>
  <c r="P310" i="9" s="1"/>
  <c r="Q310" i="9" s="1"/>
  <c r="H267" i="18"/>
  <c r="X270" i="22" s="1"/>
  <c r="P272" i="9" s="1"/>
  <c r="Q272" i="9" s="1"/>
  <c r="H266" i="18"/>
  <c r="X269" i="22" s="1"/>
  <c r="P271" i="9" s="1"/>
  <c r="Q271" i="9" s="1"/>
  <c r="H60" i="18"/>
  <c r="X63" i="22" s="1"/>
  <c r="P65" i="9" s="1"/>
  <c r="Q65" i="9" s="1"/>
  <c r="H278" i="18"/>
  <c r="X281" i="22" s="1"/>
  <c r="P283" i="9" s="1"/>
  <c r="Q283" i="9" s="1"/>
  <c r="H24" i="18"/>
  <c r="X27" i="22" s="1"/>
  <c r="P29" i="9" s="1"/>
  <c r="Q29" i="9" s="1"/>
  <c r="H9" i="18"/>
  <c r="X12" i="22" s="1"/>
  <c r="P14" i="9" s="1"/>
  <c r="Q14" i="9" s="1"/>
  <c r="H93" i="18"/>
  <c r="X96" i="22" s="1"/>
  <c r="P98" i="9" s="1"/>
  <c r="Q98" i="9" s="1"/>
  <c r="H69" i="18"/>
  <c r="X72" i="22" s="1"/>
  <c r="P74" i="9" s="1"/>
  <c r="Q74" i="9" s="1"/>
  <c r="H192" i="18"/>
  <c r="X195" i="22" s="1"/>
  <c r="P197" i="9" s="1"/>
  <c r="Q197" i="9" s="1"/>
  <c r="H181" i="18"/>
  <c r="X184" i="22" s="1"/>
  <c r="P186" i="9" s="1"/>
  <c r="Q186" i="9" s="1"/>
  <c r="H117" i="18"/>
  <c r="X120" i="22" s="1"/>
  <c r="P122" i="9" s="1"/>
  <c r="Q122" i="9" s="1"/>
  <c r="H78" i="18"/>
  <c r="X81" i="22" s="1"/>
  <c r="P83" i="9" s="1"/>
  <c r="Q83" i="9" s="1"/>
  <c r="H82" i="18"/>
  <c r="X85" i="22" s="1"/>
  <c r="P87" i="9" s="1"/>
  <c r="Q87" i="9" s="1"/>
  <c r="H226" i="18"/>
  <c r="X229" i="22" s="1"/>
  <c r="P231" i="9" s="1"/>
  <c r="Q231" i="9" s="1"/>
  <c r="H17" i="18"/>
  <c r="X20" i="22" s="1"/>
  <c r="P22" i="9" s="1"/>
  <c r="Q22" i="9" s="1"/>
  <c r="H255" i="18"/>
  <c r="X258" i="22" s="1"/>
  <c r="P260" i="9" s="1"/>
  <c r="Q260" i="9" s="1"/>
  <c r="H55" i="18"/>
  <c r="X58" i="22" s="1"/>
  <c r="P60" i="9" s="1"/>
  <c r="Q60" i="9" s="1"/>
  <c r="H250" i="18"/>
  <c r="X253" i="22" s="1"/>
  <c r="P255" i="9" s="1"/>
  <c r="Q255" i="9" s="1"/>
  <c r="H168" i="18"/>
  <c r="X171" i="22" s="1"/>
  <c r="P173" i="9" s="1"/>
  <c r="Q173" i="9" s="1"/>
  <c r="H285" i="18"/>
  <c r="X288" i="22" s="1"/>
  <c r="P290" i="9" s="1"/>
  <c r="Q290" i="9" s="1"/>
  <c r="H85" i="18"/>
  <c r="X88" i="22" s="1"/>
  <c r="P90" i="9" s="1"/>
  <c r="Q90" i="9" s="1"/>
  <c r="H184" i="18"/>
  <c r="X187" i="22" s="1"/>
  <c r="P189" i="9" s="1"/>
  <c r="Q189" i="9" s="1"/>
  <c r="I219" i="18"/>
  <c r="H270" i="18"/>
  <c r="X273" i="22" s="1"/>
  <c r="P275" i="9" s="1"/>
  <c r="Q275" i="9" s="1"/>
  <c r="H158" i="18"/>
  <c r="X161" i="22" s="1"/>
  <c r="P163" i="9" s="1"/>
  <c r="Q163" i="9" s="1"/>
  <c r="H257" i="18"/>
  <c r="X260" i="22" s="1"/>
  <c r="P262" i="9" s="1"/>
  <c r="Q262" i="9" s="1"/>
  <c r="H239" i="18"/>
  <c r="X242" i="22" s="1"/>
  <c r="P244" i="9" s="1"/>
  <c r="Q244" i="9" s="1"/>
  <c r="I202" i="18"/>
  <c r="H127" i="18"/>
  <c r="X130" i="22" s="1"/>
  <c r="P132" i="9" s="1"/>
  <c r="Q132" i="9" s="1"/>
  <c r="H299" i="18"/>
  <c r="X302" i="22" s="1"/>
  <c r="P304" i="9" s="1"/>
  <c r="Q304" i="9" s="1"/>
  <c r="H53" i="18"/>
  <c r="X56" i="22" s="1"/>
  <c r="P58" i="9" s="1"/>
  <c r="Q58" i="9" s="1"/>
  <c r="H253" i="18"/>
  <c r="X256" i="22" s="1"/>
  <c r="P258" i="9" s="1"/>
  <c r="Q258" i="9" s="1"/>
  <c r="H147" i="18"/>
  <c r="X150" i="22" s="1"/>
  <c r="P152" i="9" s="1"/>
  <c r="Q152" i="9" s="1"/>
  <c r="H57" i="18"/>
  <c r="X60" i="22" s="1"/>
  <c r="P62" i="9" s="1"/>
  <c r="Q62" i="9" s="1"/>
  <c r="H248" i="18"/>
  <c r="X251" i="22" s="1"/>
  <c r="P253" i="9" s="1"/>
  <c r="Q253" i="9" s="1"/>
  <c r="H256" i="18"/>
  <c r="X259" i="22" s="1"/>
  <c r="P261" i="9" s="1"/>
  <c r="Q261" i="9" s="1"/>
  <c r="H220" i="18"/>
  <c r="X223" i="22" s="1"/>
  <c r="P225" i="9" s="1"/>
  <c r="Q225" i="9" s="1"/>
  <c r="H281" i="18"/>
  <c r="X284" i="22" s="1"/>
  <c r="P286" i="9" s="1"/>
  <c r="Q286" i="9" s="1"/>
  <c r="I298" i="18"/>
  <c r="H54" i="18"/>
  <c r="X57" i="22" s="1"/>
  <c r="P59" i="9" s="1"/>
  <c r="Q59" i="9" s="1"/>
  <c r="H43" i="18"/>
  <c r="X46" i="22" s="1"/>
  <c r="P48" i="9" s="1"/>
  <c r="Q48" i="9" s="1"/>
  <c r="H34" i="18"/>
  <c r="X37" i="22" s="1"/>
  <c r="P39" i="9" s="1"/>
  <c r="Q39" i="9" s="1"/>
  <c r="H32" i="18"/>
  <c r="X35" i="22" s="1"/>
  <c r="P37" i="9" s="1"/>
  <c r="Q37" i="9" s="1"/>
  <c r="H138" i="18"/>
  <c r="X141" i="22" s="1"/>
  <c r="P143" i="9" s="1"/>
  <c r="Q143" i="9" s="1"/>
  <c r="H205" i="18"/>
  <c r="X207" i="22" s="1"/>
  <c r="P210" i="9" s="1"/>
  <c r="Q210" i="9" s="1"/>
  <c r="H213" i="18"/>
  <c r="X216" i="22" s="1"/>
  <c r="P218" i="9" s="1"/>
  <c r="Q218" i="9" s="1"/>
  <c r="H77" i="18"/>
  <c r="X80" i="22" s="1"/>
  <c r="P82" i="9" s="1"/>
  <c r="Q82" i="9" s="1"/>
  <c r="H83" i="18"/>
  <c r="X86" i="22" s="1"/>
  <c r="P88" i="9" s="1"/>
  <c r="Q88" i="9" s="1"/>
  <c r="H223" i="18"/>
  <c r="X226" i="22" s="1"/>
  <c r="P228" i="9" s="1"/>
  <c r="Q228" i="9" s="1"/>
  <c r="H40" i="18"/>
  <c r="X43" i="22" s="1"/>
  <c r="P45" i="9" s="1"/>
  <c r="Q45" i="9" s="1"/>
  <c r="H128" i="18"/>
  <c r="X131" i="22" s="1"/>
  <c r="P133" i="9" s="1"/>
  <c r="Q133" i="9" s="1"/>
  <c r="H185" i="18"/>
  <c r="X188" i="22" s="1"/>
  <c r="P190" i="9" s="1"/>
  <c r="Q190" i="9" s="1"/>
  <c r="H81" i="18"/>
  <c r="X84" i="22" s="1"/>
  <c r="P86" i="9" s="1"/>
  <c r="Q86" i="9" s="1"/>
  <c r="H172" i="18"/>
  <c r="X175" i="22" s="1"/>
  <c r="P177" i="9" s="1"/>
  <c r="Q177" i="9" s="1"/>
  <c r="H302" i="18"/>
  <c r="X305" i="22" s="1"/>
  <c r="P308" i="9" s="1"/>
  <c r="Q308" i="9" s="1"/>
  <c r="H96" i="18"/>
  <c r="X99" i="22" s="1"/>
  <c r="P101" i="9" s="1"/>
  <c r="Q101" i="9" s="1"/>
  <c r="H201" i="18"/>
  <c r="X204" i="22" s="1"/>
  <c r="P206" i="9" s="1"/>
  <c r="Q206" i="9" s="1"/>
  <c r="H187" i="18"/>
  <c r="X190" i="22" s="1"/>
  <c r="P192" i="9" s="1"/>
  <c r="Q192" i="9" s="1"/>
  <c r="H72" i="18"/>
  <c r="X75" i="22" s="1"/>
  <c r="P77" i="9" s="1"/>
  <c r="Q77" i="9" s="1"/>
  <c r="H33" i="18"/>
  <c r="X36" i="22" s="1"/>
  <c r="P38" i="9" s="1"/>
  <c r="Q38" i="9" s="1"/>
  <c r="H173" i="18"/>
  <c r="X176" i="22" s="1"/>
  <c r="P178" i="9" s="1"/>
  <c r="Q178" i="9" s="1"/>
  <c r="H230" i="18"/>
  <c r="X233" i="22" s="1"/>
  <c r="P235" i="9" s="1"/>
  <c r="Q235" i="9" s="1"/>
  <c r="H143" i="18"/>
  <c r="X146" i="22" s="1"/>
  <c r="P148" i="9" s="1"/>
  <c r="Q148" i="9" s="1"/>
  <c r="H62" i="18"/>
  <c r="X65" i="22" s="1"/>
  <c r="P67" i="9" s="1"/>
  <c r="Q67" i="9" s="1"/>
  <c r="H176" i="18"/>
  <c r="X179" i="22" s="1"/>
  <c r="P181" i="9" s="1"/>
  <c r="Q181" i="9" s="1"/>
  <c r="L10" i="10"/>
  <c r="M10" i="10"/>
  <c r="N10" i="10"/>
  <c r="D316" i="3"/>
  <c r="O10" i="10"/>
  <c r="E8" i="3"/>
  <c r="E316" i="3" s="1"/>
  <c r="C316" i="3"/>
  <c r="H20" i="18"/>
  <c r="X23" i="22" s="1"/>
  <c r="P25" i="9" s="1"/>
  <c r="Q25" i="9" s="1"/>
  <c r="H15" i="18"/>
  <c r="X18" i="22" s="1"/>
  <c r="P20" i="9" s="1"/>
  <c r="Q20" i="9" s="1"/>
  <c r="H123" i="18"/>
  <c r="X126" i="22" s="1"/>
  <c r="P128" i="9" s="1"/>
  <c r="Q128" i="9" s="1"/>
  <c r="H249" i="18"/>
  <c r="X252" i="22" s="1"/>
  <c r="P254" i="9" s="1"/>
  <c r="Q254" i="9" s="1"/>
  <c r="H84" i="18"/>
  <c r="X87" i="22" s="1"/>
  <c r="P89" i="9" s="1"/>
  <c r="Q89" i="9" s="1"/>
  <c r="H12" i="18"/>
  <c r="X15" i="22" s="1"/>
  <c r="P17" i="9" s="1"/>
  <c r="Q17" i="9" s="1"/>
  <c r="I30" i="18"/>
  <c r="H155" i="18"/>
  <c r="X158" i="22" s="1"/>
  <c r="P160" i="9" s="1"/>
  <c r="Q160" i="9" s="1"/>
  <c r="H227" i="18"/>
  <c r="X230" i="22" s="1"/>
  <c r="P232" i="9" s="1"/>
  <c r="Q232" i="9" s="1"/>
  <c r="H290" i="18"/>
  <c r="X293" i="22" s="1"/>
  <c r="P295" i="9" s="1"/>
  <c r="Q295" i="9" s="1"/>
  <c r="H115" i="18"/>
  <c r="X118" i="22" s="1"/>
  <c r="P120" i="9" s="1"/>
  <c r="Q120" i="9" s="1"/>
  <c r="H121" i="18"/>
  <c r="X124" i="22" s="1"/>
  <c r="P126" i="9" s="1"/>
  <c r="Q126" i="9" s="1"/>
  <c r="H183" i="18"/>
  <c r="X186" i="22" s="1"/>
  <c r="P188" i="9" s="1"/>
  <c r="Q188" i="9" s="1"/>
  <c r="H282" i="18"/>
  <c r="X285" i="22" s="1"/>
  <c r="P287" i="9" s="1"/>
  <c r="Q287" i="9" s="1"/>
  <c r="H106" i="18"/>
  <c r="X109" i="22" s="1"/>
  <c r="P111" i="9" s="1"/>
  <c r="Q111" i="9" s="1"/>
  <c r="I203" i="18"/>
  <c r="H200" i="18"/>
  <c r="X203" i="22" s="1"/>
  <c r="P205" i="9" s="1"/>
  <c r="Q205" i="9" s="1"/>
  <c r="I186" i="18"/>
  <c r="H100" i="18"/>
  <c r="X103" i="22" s="1"/>
  <c r="P105" i="9" s="1"/>
  <c r="Q105" i="9" s="1"/>
  <c r="H42" i="18"/>
  <c r="X45" i="22" s="1"/>
  <c r="P47" i="9" s="1"/>
  <c r="Q47" i="9" s="1"/>
  <c r="Q127" i="9" l="1"/>
  <c r="E26" i="25" s="1"/>
  <c r="E36" i="25" s="1"/>
  <c r="D236" i="22"/>
  <c r="R238" i="10" s="1"/>
  <c r="D238" i="10" s="1"/>
  <c r="E236" i="22"/>
  <c r="S238" i="10" s="1"/>
  <c r="E238" i="10" s="1"/>
  <c r="AC10" i="13"/>
  <c r="AC38" i="13" s="1"/>
  <c r="AE6" i="13"/>
  <c r="F13" i="22"/>
  <c r="T15" i="10" s="1"/>
  <c r="F15" i="10" s="1"/>
  <c r="E13" i="22"/>
  <c r="S15" i="10" s="1"/>
  <c r="E15" i="10" s="1"/>
  <c r="D13" i="22"/>
  <c r="R15" i="10" s="1"/>
  <c r="D15" i="10" s="1"/>
  <c r="F307" i="22"/>
  <c r="T305" i="10" s="1"/>
  <c r="F305" i="10" s="1"/>
  <c r="E307" i="22"/>
  <c r="S305" i="10" s="1"/>
  <c r="E305" i="10" s="1"/>
  <c r="D307" i="22"/>
  <c r="R305" i="10" s="1"/>
  <c r="D305" i="10" s="1"/>
  <c r="F59" i="22"/>
  <c r="T61" i="10" s="1"/>
  <c r="F61" i="10" s="1"/>
  <c r="E59" i="22"/>
  <c r="S61" i="10" s="1"/>
  <c r="E61" i="10" s="1"/>
  <c r="D59" i="22"/>
  <c r="R61" i="10" s="1"/>
  <c r="D61" i="10" s="1"/>
  <c r="D221" i="22"/>
  <c r="R223" i="10" s="1"/>
  <c r="D223" i="10" s="1"/>
  <c r="F221" i="22"/>
  <c r="T223" i="10" s="1"/>
  <c r="F223" i="10" s="1"/>
  <c r="E221" i="22"/>
  <c r="S223" i="10" s="1"/>
  <c r="E223" i="10" s="1"/>
  <c r="P10" i="18"/>
  <c r="P304" i="18"/>
  <c r="P233" i="18"/>
  <c r="M104" i="18"/>
  <c r="L218" i="18"/>
  <c r="C221" i="22" s="1"/>
  <c r="O104" i="18"/>
  <c r="L104" i="18"/>
  <c r="C107" i="22" s="1"/>
  <c r="L95" i="18"/>
  <c r="C98" i="22" s="1"/>
  <c r="N95" i="18"/>
  <c r="M95" i="18"/>
  <c r="L120" i="18"/>
  <c r="C123" i="22" s="1"/>
  <c r="N120" i="18"/>
  <c r="M120" i="18"/>
  <c r="I234" i="18"/>
  <c r="O234" i="18" s="1"/>
  <c r="I66" i="18"/>
  <c r="O66" i="18" s="1"/>
  <c r="I247" i="18"/>
  <c r="M247" i="18" s="1"/>
  <c r="I156" i="18"/>
  <c r="M156" i="18" s="1"/>
  <c r="I129" i="18"/>
  <c r="M129" i="18" s="1"/>
  <c r="I238" i="18"/>
  <c r="O238" i="18" s="1"/>
  <c r="I151" i="18"/>
  <c r="N151" i="18" s="1"/>
  <c r="I43" i="18"/>
  <c r="O43" i="18" s="1"/>
  <c r="I294" i="18"/>
  <c r="N294" i="18" s="1"/>
  <c r="I197" i="18"/>
  <c r="N197" i="18" s="1"/>
  <c r="I69" i="18"/>
  <c r="N69" i="18" s="1"/>
  <c r="I278" i="18"/>
  <c r="N278" i="18" s="1"/>
  <c r="I81" i="18"/>
  <c r="L81" i="18" s="1"/>
  <c r="C84" i="22" s="1"/>
  <c r="I157" i="18"/>
  <c r="L157" i="18" s="1"/>
  <c r="C160" i="22" s="1"/>
  <c r="I47" i="18"/>
  <c r="O47" i="18" s="1"/>
  <c r="O140" i="18"/>
  <c r="N140" i="18"/>
  <c r="M140" i="18"/>
  <c r="I230" i="18"/>
  <c r="O230" i="18" s="1"/>
  <c r="I201" i="18"/>
  <c r="M201" i="18" s="1"/>
  <c r="I127" i="18"/>
  <c r="O127" i="18" s="1"/>
  <c r="I236" i="18"/>
  <c r="L236" i="18" s="1"/>
  <c r="C239" i="22" s="1"/>
  <c r="I295" i="18"/>
  <c r="N295" i="18" s="1"/>
  <c r="I62" i="18"/>
  <c r="N62" i="18" s="1"/>
  <c r="I302" i="18"/>
  <c r="M302" i="18" s="1"/>
  <c r="I82" i="18"/>
  <c r="M82" i="18" s="1"/>
  <c r="I167" i="18"/>
  <c r="L167" i="18" s="1"/>
  <c r="C170" i="22" s="1"/>
  <c r="I222" i="18"/>
  <c r="M222" i="18" s="1"/>
  <c r="I37" i="18"/>
  <c r="O37" i="18" s="1"/>
  <c r="I91" i="18"/>
  <c r="I205" i="18"/>
  <c r="N205" i="18" s="1"/>
  <c r="I158" i="18"/>
  <c r="M158" i="18" s="1"/>
  <c r="I152" i="18"/>
  <c r="L152" i="18" s="1"/>
  <c r="C155" i="22" s="1"/>
  <c r="I169" i="18"/>
  <c r="L169" i="18" s="1"/>
  <c r="C172" i="22" s="1"/>
  <c r="I8" i="18"/>
  <c r="M8" i="18" s="1"/>
  <c r="I231" i="18"/>
  <c r="N231" i="18" s="1"/>
  <c r="I29" i="18"/>
  <c r="L29" i="18" s="1"/>
  <c r="C32" i="22" s="1"/>
  <c r="O218" i="18"/>
  <c r="I200" i="18"/>
  <c r="O200" i="18" s="1"/>
  <c r="N218" i="18"/>
  <c r="I51" i="18"/>
  <c r="M51" i="18" s="1"/>
  <c r="I103" i="18"/>
  <c r="N103" i="18" s="1"/>
  <c r="I11" i="18"/>
  <c r="M11" i="18" s="1"/>
  <c r="I175" i="18"/>
  <c r="O175" i="18" s="1"/>
  <c r="I171" i="18"/>
  <c r="M171" i="18" s="1"/>
  <c r="I181" i="18"/>
  <c r="M181" i="18" s="1"/>
  <c r="I130" i="18"/>
  <c r="O130" i="18" s="1"/>
  <c r="I221" i="18"/>
  <c r="M221" i="18" s="1"/>
  <c r="I277" i="18"/>
  <c r="M277" i="18" s="1"/>
  <c r="I108" i="18"/>
  <c r="L108" i="18" s="1"/>
  <c r="C111" i="22" s="1"/>
  <c r="I125" i="18"/>
  <c r="L125" i="18" s="1"/>
  <c r="C128" i="22" s="1"/>
  <c r="I70" i="18"/>
  <c r="O70" i="18" s="1"/>
  <c r="I244" i="18"/>
  <c r="M244" i="18" s="1"/>
  <c r="I119" i="18"/>
  <c r="N119" i="18" s="1"/>
  <c r="I191" i="18"/>
  <c r="L191" i="18" s="1"/>
  <c r="C194" i="22" s="1"/>
  <c r="I224" i="18"/>
  <c r="L224" i="18" s="1"/>
  <c r="C227" i="22" s="1"/>
  <c r="I153" i="18"/>
  <c r="N153" i="18" s="1"/>
  <c r="I27" i="18"/>
  <c r="L27" i="18" s="1"/>
  <c r="C30" i="22" s="1"/>
  <c r="I178" i="18"/>
  <c r="L178" i="18" s="1"/>
  <c r="C181" i="22" s="1"/>
  <c r="N56" i="18"/>
  <c r="I204" i="18"/>
  <c r="L204" i="18" s="1"/>
  <c r="C206" i="22" s="1"/>
  <c r="I58" i="18"/>
  <c r="L58" i="18" s="1"/>
  <c r="C61" i="22" s="1"/>
  <c r="I206" i="18"/>
  <c r="M206" i="18" s="1"/>
  <c r="O56" i="18"/>
  <c r="I235" i="18"/>
  <c r="L235" i="18" s="1"/>
  <c r="C238" i="22" s="1"/>
  <c r="L56" i="18"/>
  <c r="C59" i="22" s="1"/>
  <c r="I54" i="18"/>
  <c r="O54" i="18" s="1"/>
  <c r="I281" i="18"/>
  <c r="M281" i="18" s="1"/>
  <c r="I305" i="18"/>
  <c r="O305" i="18" s="1"/>
  <c r="I94" i="18"/>
  <c r="L94" i="18" s="1"/>
  <c r="C97" i="22" s="1"/>
  <c r="I289" i="18"/>
  <c r="L289" i="18" s="1"/>
  <c r="C292" i="22" s="1"/>
  <c r="I286" i="18"/>
  <c r="O286" i="18" s="1"/>
  <c r="I279" i="18"/>
  <c r="L279" i="18" s="1"/>
  <c r="C282" i="22" s="1"/>
  <c r="I144" i="18"/>
  <c r="N144" i="18" s="1"/>
  <c r="I109" i="18"/>
  <c r="L109" i="18" s="1"/>
  <c r="C112" i="22" s="1"/>
  <c r="I88" i="18"/>
  <c r="O88" i="18" s="1"/>
  <c r="I188" i="18"/>
  <c r="N188" i="18" s="1"/>
  <c r="I76" i="18"/>
  <c r="O76" i="18" s="1"/>
  <c r="L164" i="18"/>
  <c r="C167" i="22" s="1"/>
  <c r="N164" i="18"/>
  <c r="M164" i="18"/>
  <c r="O164" i="18"/>
  <c r="I68" i="18"/>
  <c r="O68" i="18" s="1"/>
  <c r="I287" i="18"/>
  <c r="M287" i="18" s="1"/>
  <c r="I63" i="18"/>
  <c r="M63" i="18" s="1"/>
  <c r="I41" i="18"/>
  <c r="M41" i="18" s="1"/>
  <c r="I229" i="18"/>
  <c r="N229" i="18" s="1"/>
  <c r="I297" i="18"/>
  <c r="L297" i="18" s="1"/>
  <c r="C300" i="22" s="1"/>
  <c r="I245" i="18"/>
  <c r="M245" i="18" s="1"/>
  <c r="I225" i="18"/>
  <c r="M225" i="18" s="1"/>
  <c r="L291" i="18"/>
  <c r="C294" i="22" s="1"/>
  <c r="O291" i="18"/>
  <c r="M291" i="18"/>
  <c r="N291" i="18"/>
  <c r="I12" i="18"/>
  <c r="N12" i="18" s="1"/>
  <c r="I40" i="18"/>
  <c r="L40" i="18" s="1"/>
  <c r="C43" i="22" s="1"/>
  <c r="I147" i="18"/>
  <c r="O147" i="18" s="1"/>
  <c r="I165" i="18"/>
  <c r="L165" i="18" s="1"/>
  <c r="C168" i="22" s="1"/>
  <c r="I280" i="18"/>
  <c r="M280" i="18" s="1"/>
  <c r="I112" i="18"/>
  <c r="N112" i="18" s="1"/>
  <c r="I214" i="18"/>
  <c r="O214" i="18" s="1"/>
  <c r="I44" i="18"/>
  <c r="O44" i="18" s="1"/>
  <c r="I185" i="18"/>
  <c r="M185" i="18" s="1"/>
  <c r="I253" i="18"/>
  <c r="O253" i="18" s="1"/>
  <c r="I255" i="18"/>
  <c r="L255" i="18" s="1"/>
  <c r="C258" i="22" s="1"/>
  <c r="I266" i="18"/>
  <c r="N266" i="18" s="1"/>
  <c r="I161" i="18"/>
  <c r="L161" i="18" s="1"/>
  <c r="C164" i="22" s="1"/>
  <c r="I28" i="18"/>
  <c r="L28" i="18" s="1"/>
  <c r="C31" i="22" s="1"/>
  <c r="I265" i="18"/>
  <c r="L265" i="18" s="1"/>
  <c r="C268" i="22" s="1"/>
  <c r="I199" i="18"/>
  <c r="L199" i="18" s="1"/>
  <c r="C202" i="22" s="1"/>
  <c r="I36" i="18"/>
  <c r="O36" i="18" s="1"/>
  <c r="I97" i="18"/>
  <c r="L97" i="18" s="1"/>
  <c r="C100" i="22" s="1"/>
  <c r="I261" i="18"/>
  <c r="M261" i="18" s="1"/>
  <c r="I215" i="18"/>
  <c r="M215" i="18" s="1"/>
  <c r="I207" i="18"/>
  <c r="L207" i="18" s="1"/>
  <c r="C210" i="22" s="1"/>
  <c r="I67" i="18"/>
  <c r="M67" i="18" s="1"/>
  <c r="I46" i="18"/>
  <c r="O46" i="18" s="1"/>
  <c r="I137" i="18"/>
  <c r="M137" i="18" s="1"/>
  <c r="I89" i="18"/>
  <c r="N89" i="18" s="1"/>
  <c r="I212" i="18"/>
  <c r="L212" i="18" s="1"/>
  <c r="C215" i="22" s="1"/>
  <c r="I271" i="18"/>
  <c r="M271" i="18" s="1"/>
  <c r="I217" i="18"/>
  <c r="O217" i="18" s="1"/>
  <c r="I72" i="18"/>
  <c r="N72" i="18" s="1"/>
  <c r="I138" i="18"/>
  <c r="O138" i="18" s="1"/>
  <c r="I220" i="18"/>
  <c r="N220" i="18" s="1"/>
  <c r="I57" i="18"/>
  <c r="L57" i="18" s="1"/>
  <c r="C60" i="22" s="1"/>
  <c r="I299" i="18"/>
  <c r="L299" i="18" s="1"/>
  <c r="C302" i="22" s="1"/>
  <c r="I17" i="18"/>
  <c r="O17" i="18" s="1"/>
  <c r="I24" i="18"/>
  <c r="N24" i="18" s="1"/>
  <c r="I189" i="18"/>
  <c r="N189" i="18" s="1"/>
  <c r="I110" i="18"/>
  <c r="M110" i="18" s="1"/>
  <c r="I14" i="18"/>
  <c r="M14" i="18" s="1"/>
  <c r="I159" i="18"/>
  <c r="N159" i="18" s="1"/>
  <c r="I301" i="18"/>
  <c r="L301" i="18" s="1"/>
  <c r="C304" i="22" s="1"/>
  <c r="I133" i="18"/>
  <c r="N133" i="18" s="1"/>
  <c r="I99" i="18"/>
  <c r="L99" i="18" s="1"/>
  <c r="C102" i="22" s="1"/>
  <c r="I195" i="18"/>
  <c r="O195" i="18" s="1"/>
  <c r="I190" i="18"/>
  <c r="L190" i="18" s="1"/>
  <c r="C193" i="22" s="1"/>
  <c r="I292" i="18"/>
  <c r="M292" i="18" s="1"/>
  <c r="I182" i="18"/>
  <c r="L182" i="18" s="1"/>
  <c r="C185" i="22" s="1"/>
  <c r="I117" i="18"/>
  <c r="L117" i="18" s="1"/>
  <c r="C120" i="22" s="1"/>
  <c r="I180" i="18"/>
  <c r="O180" i="18" s="1"/>
  <c r="I284" i="18"/>
  <c r="O284" i="18" s="1"/>
  <c r="I174" i="18"/>
  <c r="L174" i="18" s="1"/>
  <c r="C177" i="22" s="1"/>
  <c r="I71" i="18"/>
  <c r="M71" i="18" s="1"/>
  <c r="I115" i="18"/>
  <c r="O115" i="18" s="1"/>
  <c r="I155" i="18"/>
  <c r="O155" i="18" s="1"/>
  <c r="I223" i="18"/>
  <c r="O223" i="18" s="1"/>
  <c r="I53" i="18"/>
  <c r="O53" i="18" s="1"/>
  <c r="I55" i="18"/>
  <c r="L55" i="18" s="1"/>
  <c r="C58" i="22" s="1"/>
  <c r="I92" i="18"/>
  <c r="M92" i="18" s="1"/>
  <c r="I303" i="18"/>
  <c r="O303" i="18" s="1"/>
  <c r="I163" i="18"/>
  <c r="O163" i="18" s="1"/>
  <c r="I141" i="18"/>
  <c r="M141" i="18" s="1"/>
  <c r="I288" i="18"/>
  <c r="L288" i="18" s="1"/>
  <c r="C291" i="22" s="1"/>
  <c r="L59" i="18"/>
  <c r="C62" i="22" s="1"/>
  <c r="N59" i="18"/>
  <c r="O59" i="18"/>
  <c r="M59" i="18"/>
  <c r="I306" i="18"/>
  <c r="O298" i="18"/>
  <c r="N298" i="18"/>
  <c r="M298" i="18"/>
  <c r="L298" i="18"/>
  <c r="C301" i="22" s="1"/>
  <c r="I100" i="18"/>
  <c r="N100" i="18" s="1"/>
  <c r="I121" i="18"/>
  <c r="L121" i="18" s="1"/>
  <c r="C124" i="22" s="1"/>
  <c r="I176" i="18"/>
  <c r="M176" i="18" s="1"/>
  <c r="I83" i="18"/>
  <c r="I239" i="18"/>
  <c r="I168" i="18"/>
  <c r="I114" i="18"/>
  <c r="I118" i="18"/>
  <c r="I6" i="18"/>
  <c r="I124" i="18"/>
  <c r="I276" i="18"/>
  <c r="I105" i="18"/>
  <c r="I38" i="18"/>
  <c r="I146" i="18"/>
  <c r="I198" i="18"/>
  <c r="I307" i="18"/>
  <c r="I75" i="18"/>
  <c r="I73" i="18"/>
  <c r="I232" i="18"/>
  <c r="I149" i="18"/>
  <c r="I90" i="18"/>
  <c r="I21" i="18"/>
  <c r="I87" i="18"/>
  <c r="I150" i="18"/>
  <c r="I49" i="18"/>
  <c r="I275" i="18"/>
  <c r="I194" i="18"/>
  <c r="I25" i="18"/>
  <c r="I79" i="18"/>
  <c r="I19" i="18"/>
  <c r="M219" i="18"/>
  <c r="N219" i="18"/>
  <c r="O219" i="18"/>
  <c r="L219" i="18"/>
  <c r="C222" i="22" s="1"/>
  <c r="O274" i="18"/>
  <c r="L274" i="18"/>
  <c r="C277" i="22" s="1"/>
  <c r="N274" i="18"/>
  <c r="M274" i="18"/>
  <c r="I33" i="18"/>
  <c r="I187" i="18"/>
  <c r="I172" i="18"/>
  <c r="I128" i="18"/>
  <c r="I78" i="18"/>
  <c r="I9" i="18"/>
  <c r="I136" i="18"/>
  <c r="I145" i="18"/>
  <c r="I272" i="18"/>
  <c r="I113" i="18"/>
  <c r="I74" i="18"/>
  <c r="N7" i="18"/>
  <c r="O7" i="18"/>
  <c r="M7" i="18"/>
  <c r="L7" i="18"/>
  <c r="C10" i="22" s="1"/>
  <c r="I13" i="18"/>
  <c r="I135" i="18"/>
  <c r="I142" i="18"/>
  <c r="M31" i="18"/>
  <c r="O31" i="18"/>
  <c r="N31" i="18"/>
  <c r="L31" i="18"/>
  <c r="C34" i="22" s="1"/>
  <c r="I26" i="18"/>
  <c r="I193" i="18"/>
  <c r="I22" i="18"/>
  <c r="I116" i="18"/>
  <c r="I111" i="18"/>
  <c r="I237" i="18"/>
  <c r="I263" i="18"/>
  <c r="I211" i="18"/>
  <c r="I98" i="18"/>
  <c r="I131" i="18"/>
  <c r="I50" i="18"/>
  <c r="I249" i="18"/>
  <c r="O249" i="18" s="1"/>
  <c r="I123" i="18"/>
  <c r="N123" i="18" s="1"/>
  <c r="I96" i="18"/>
  <c r="I213" i="18"/>
  <c r="I32" i="18"/>
  <c r="I256" i="18"/>
  <c r="N202" i="18"/>
  <c r="M202" i="18"/>
  <c r="O202" i="18"/>
  <c r="L202" i="18"/>
  <c r="C209" i="22" s="1"/>
  <c r="I270" i="18"/>
  <c r="I184" i="18"/>
  <c r="I285" i="18"/>
  <c r="I226" i="18"/>
  <c r="I93" i="18"/>
  <c r="I60" i="18"/>
  <c r="I268" i="18"/>
  <c r="I228" i="18"/>
  <c r="I210" i="18"/>
  <c r="I132" i="18"/>
  <c r="I160" i="18"/>
  <c r="I252" i="18"/>
  <c r="I35" i="18"/>
  <c r="I296" i="18"/>
  <c r="I258" i="18"/>
  <c r="I170" i="18"/>
  <c r="I122" i="18"/>
  <c r="I269" i="18"/>
  <c r="I179" i="18"/>
  <c r="I48" i="18"/>
  <c r="I126" i="18"/>
  <c r="I246" i="18"/>
  <c r="I264" i="18"/>
  <c r="I16" i="18"/>
  <c r="I243" i="18"/>
  <c r="I101" i="18"/>
  <c r="I177" i="18"/>
  <c r="I148" i="18"/>
  <c r="I52" i="18"/>
  <c r="I242" i="18"/>
  <c r="I262" i="18"/>
  <c r="I61" i="18"/>
  <c r="I23" i="18"/>
  <c r="M65" i="18"/>
  <c r="N65" i="18"/>
  <c r="L65" i="18"/>
  <c r="C68" i="22" s="1"/>
  <c r="O65" i="18"/>
  <c r="I15" i="18"/>
  <c r="L15" i="18" s="1"/>
  <c r="C18" i="22" s="1"/>
  <c r="I143" i="18"/>
  <c r="I173" i="18"/>
  <c r="I77" i="18"/>
  <c r="I34" i="18"/>
  <c r="I248" i="18"/>
  <c r="I257" i="18"/>
  <c r="I85" i="18"/>
  <c r="I250" i="18"/>
  <c r="I192" i="18"/>
  <c r="I267" i="18"/>
  <c r="I241" i="18"/>
  <c r="I166" i="18"/>
  <c r="I208" i="18"/>
  <c r="I196" i="18"/>
  <c r="I107" i="18"/>
  <c r="I209" i="18"/>
  <c r="N216" i="18"/>
  <c r="O216" i="18"/>
  <c r="M216" i="18"/>
  <c r="L216" i="18"/>
  <c r="C219" i="22" s="1"/>
  <c r="I80" i="18"/>
  <c r="I293" i="18"/>
  <c r="I134" i="18"/>
  <c r="I154" i="18"/>
  <c r="I273" i="18"/>
  <c r="I254" i="18"/>
  <c r="I251" i="18"/>
  <c r="I45" i="18"/>
  <c r="I283" i="18"/>
  <c r="I162" i="18"/>
  <c r="I300" i="18"/>
  <c r="I18" i="18"/>
  <c r="I86" i="18"/>
  <c r="I102" i="18"/>
  <c r="I64" i="18"/>
  <c r="I259" i="18"/>
  <c r="I139" i="18"/>
  <c r="O240" i="18"/>
  <c r="N240" i="18"/>
  <c r="L240" i="18"/>
  <c r="C243" i="22" s="1"/>
  <c r="M240" i="18"/>
  <c r="I39" i="18"/>
  <c r="I260" i="18"/>
  <c r="I106" i="18"/>
  <c r="I183" i="18"/>
  <c r="O30" i="18"/>
  <c r="M30" i="18"/>
  <c r="N30" i="18"/>
  <c r="L30" i="18"/>
  <c r="C33" i="22" s="1"/>
  <c r="I20" i="18"/>
  <c r="M327" i="10"/>
  <c r="I282" i="18"/>
  <c r="I290" i="18"/>
  <c r="C318" i="18"/>
  <c r="L327" i="10"/>
  <c r="L186" i="18"/>
  <c r="C189" i="22" s="1"/>
  <c r="M186" i="18"/>
  <c r="N186" i="18"/>
  <c r="O186" i="18"/>
  <c r="I84" i="18"/>
  <c r="O327" i="10"/>
  <c r="I227" i="18"/>
  <c r="N327" i="10"/>
  <c r="I42" i="18"/>
  <c r="O203" i="18"/>
  <c r="M203" i="18"/>
  <c r="N203" i="18"/>
  <c r="L203" i="18"/>
  <c r="C205" i="22" s="1"/>
  <c r="D189" i="22" l="1"/>
  <c r="R191" i="10" s="1"/>
  <c r="D191" i="10" s="1"/>
  <c r="F189" i="22"/>
  <c r="T191" i="10" s="1"/>
  <c r="F191" i="10" s="1"/>
  <c r="E189" i="22"/>
  <c r="F44" i="22"/>
  <c r="T46" i="10" s="1"/>
  <c r="F46" i="10" s="1"/>
  <c r="E44" i="22"/>
  <c r="D44" i="22"/>
  <c r="R46" i="10" s="1"/>
  <c r="D46" i="10" s="1"/>
  <c r="E184" i="22"/>
  <c r="S186" i="10" s="1"/>
  <c r="E186" i="10" s="1"/>
  <c r="D184" i="22"/>
  <c r="R186" i="10" s="1"/>
  <c r="D186" i="10" s="1"/>
  <c r="F184" i="22"/>
  <c r="T186" i="10" s="1"/>
  <c r="F186" i="10" s="1"/>
  <c r="E10" i="22"/>
  <c r="S12" i="10" s="1"/>
  <c r="E12" i="10" s="1"/>
  <c r="D10" i="22"/>
  <c r="F10" i="22"/>
  <c r="T12" i="10" s="1"/>
  <c r="F12" i="10" s="1"/>
  <c r="F140" i="22"/>
  <c r="T142" i="10" s="1"/>
  <c r="F142" i="10" s="1"/>
  <c r="E140" i="22"/>
  <c r="S142" i="10" s="1"/>
  <c r="E142" i="10" s="1"/>
  <c r="D140" i="22"/>
  <c r="R142" i="10" s="1"/>
  <c r="D142" i="10" s="1"/>
  <c r="E34" i="22"/>
  <c r="S36" i="10" s="1"/>
  <c r="E36" i="10" s="1"/>
  <c r="D34" i="22"/>
  <c r="R36" i="10" s="1"/>
  <c r="D36" i="10" s="1"/>
  <c r="F34" i="22"/>
  <c r="T36" i="10" s="1"/>
  <c r="F36" i="10" s="1"/>
  <c r="F294" i="22"/>
  <c r="T296" i="10" s="1"/>
  <c r="F296" i="10" s="1"/>
  <c r="E294" i="22"/>
  <c r="S296" i="10" s="1"/>
  <c r="E296" i="10" s="1"/>
  <c r="D294" i="22"/>
  <c r="R296" i="10" s="1"/>
  <c r="D296" i="10" s="1"/>
  <c r="E66" i="22"/>
  <c r="S68" i="10" s="1"/>
  <c r="E68" i="10" s="1"/>
  <c r="D66" i="22"/>
  <c r="R68" i="10" s="1"/>
  <c r="D68" i="10" s="1"/>
  <c r="F66" i="22"/>
  <c r="T68" i="10" s="1"/>
  <c r="F68" i="10" s="1"/>
  <c r="F247" i="22"/>
  <c r="T249" i="10" s="1"/>
  <c r="F249" i="10" s="1"/>
  <c r="E247" i="22"/>
  <c r="S249" i="10" s="1"/>
  <c r="E249" i="10" s="1"/>
  <c r="D247" i="22"/>
  <c r="R249" i="10" s="1"/>
  <c r="D249" i="10" s="1"/>
  <c r="E174" i="22"/>
  <c r="S176" i="10" s="1"/>
  <c r="E176" i="10" s="1"/>
  <c r="D174" i="22"/>
  <c r="R176" i="10" s="1"/>
  <c r="D176" i="10" s="1"/>
  <c r="F174" i="22"/>
  <c r="T176" i="10" s="1"/>
  <c r="F176" i="10" s="1"/>
  <c r="F132" i="22"/>
  <c r="T134" i="10" s="1"/>
  <c r="F134" i="10" s="1"/>
  <c r="E132" i="22"/>
  <c r="S134" i="10" s="1"/>
  <c r="E134" i="10" s="1"/>
  <c r="D132" i="22"/>
  <c r="R134" i="10" s="1"/>
  <c r="D134" i="10" s="1"/>
  <c r="F98" i="22"/>
  <c r="T100" i="10" s="1"/>
  <c r="F100" i="10" s="1"/>
  <c r="E98" i="22"/>
  <c r="S100" i="10" s="1"/>
  <c r="E100" i="10" s="1"/>
  <c r="D98" i="22"/>
  <c r="R100" i="10" s="1"/>
  <c r="D100" i="10" s="1"/>
  <c r="Q233" i="18"/>
  <c r="G236" i="22"/>
  <c r="U238" i="10" s="1"/>
  <c r="D205" i="22"/>
  <c r="R208" i="10" s="1"/>
  <c r="D208" i="10" s="1"/>
  <c r="F205" i="22"/>
  <c r="T208" i="10" s="1"/>
  <c r="F208" i="10" s="1"/>
  <c r="E205" i="22"/>
  <c r="S208" i="10" s="1"/>
  <c r="E208" i="10" s="1"/>
  <c r="F219" i="22"/>
  <c r="T221" i="10" s="1"/>
  <c r="F221" i="10" s="1"/>
  <c r="E219" i="22"/>
  <c r="S221" i="10" s="1"/>
  <c r="E221" i="10" s="1"/>
  <c r="D219" i="22"/>
  <c r="R221" i="10" s="1"/>
  <c r="D221" i="10" s="1"/>
  <c r="F243" i="22"/>
  <c r="T245" i="10" s="1"/>
  <c r="F245" i="10" s="1"/>
  <c r="E243" i="22"/>
  <c r="S245" i="10" s="1"/>
  <c r="E245" i="10" s="1"/>
  <c r="D243" i="22"/>
  <c r="R245" i="10" s="1"/>
  <c r="D245" i="10" s="1"/>
  <c r="F17" i="22"/>
  <c r="T19" i="10" s="1"/>
  <c r="F19" i="10" s="1"/>
  <c r="E17" i="22"/>
  <c r="S19" i="10" s="1"/>
  <c r="E19" i="10" s="1"/>
  <c r="D17" i="22"/>
  <c r="E70" i="22"/>
  <c r="S72" i="10" s="1"/>
  <c r="E72" i="10" s="1"/>
  <c r="D70" i="22"/>
  <c r="R72" i="10" s="1"/>
  <c r="D72" i="10" s="1"/>
  <c r="F70" i="22"/>
  <c r="T72" i="10" s="1"/>
  <c r="F72" i="10" s="1"/>
  <c r="F290" i="22"/>
  <c r="T292" i="10" s="1"/>
  <c r="F292" i="10" s="1"/>
  <c r="E290" i="22"/>
  <c r="S292" i="10" s="1"/>
  <c r="E292" i="10" s="1"/>
  <c r="D290" i="22"/>
  <c r="R292" i="10" s="1"/>
  <c r="D292" i="10" s="1"/>
  <c r="F284" i="22"/>
  <c r="T286" i="10" s="1"/>
  <c r="F286" i="10" s="1"/>
  <c r="E284" i="22"/>
  <c r="S286" i="10" s="1"/>
  <c r="E286" i="10" s="1"/>
  <c r="D284" i="22"/>
  <c r="R286" i="10" s="1"/>
  <c r="D286" i="10" s="1"/>
  <c r="F225" i="22"/>
  <c r="T227" i="10" s="1"/>
  <c r="F227" i="10" s="1"/>
  <c r="E225" i="22"/>
  <c r="S227" i="10" s="1"/>
  <c r="E227" i="10" s="1"/>
  <c r="D225" i="22"/>
  <c r="R227" i="10" s="1"/>
  <c r="D227" i="10" s="1"/>
  <c r="F204" i="22"/>
  <c r="T206" i="10" s="1"/>
  <c r="F206" i="10" s="1"/>
  <c r="E204" i="22"/>
  <c r="S206" i="10" s="1"/>
  <c r="E206" i="10" s="1"/>
  <c r="D204" i="22"/>
  <c r="R206" i="10" s="1"/>
  <c r="D206" i="10" s="1"/>
  <c r="F159" i="22"/>
  <c r="T161" i="10" s="1"/>
  <c r="F161" i="10" s="1"/>
  <c r="E159" i="22"/>
  <c r="S161" i="10" s="1"/>
  <c r="E161" i="10" s="1"/>
  <c r="D159" i="22"/>
  <c r="R161" i="10" s="1"/>
  <c r="D161" i="10" s="1"/>
  <c r="Q304" i="18"/>
  <c r="G307" i="22"/>
  <c r="AA307" i="22" s="1"/>
  <c r="L305" i="9" s="1"/>
  <c r="M305" i="9" s="1"/>
  <c r="F209" i="22"/>
  <c r="T207" i="10" s="1"/>
  <c r="F207" i="10" s="1"/>
  <c r="E209" i="22"/>
  <c r="S207" i="10" s="1"/>
  <c r="E207" i="10" s="1"/>
  <c r="D209" i="22"/>
  <c r="F222" i="22"/>
  <c r="T224" i="10" s="1"/>
  <c r="F224" i="10" s="1"/>
  <c r="E222" i="22"/>
  <c r="S224" i="10" s="1"/>
  <c r="E224" i="10" s="1"/>
  <c r="D222" i="22"/>
  <c r="R224" i="10" s="1"/>
  <c r="D224" i="10" s="1"/>
  <c r="D301" i="22"/>
  <c r="R303" i="10" s="1"/>
  <c r="D303" i="10" s="1"/>
  <c r="F301" i="22"/>
  <c r="T303" i="10" s="1"/>
  <c r="F303" i="10" s="1"/>
  <c r="E301" i="22"/>
  <c r="S303" i="10" s="1"/>
  <c r="E303" i="10" s="1"/>
  <c r="F295" i="22"/>
  <c r="T297" i="10" s="1"/>
  <c r="F297" i="10" s="1"/>
  <c r="E295" i="22"/>
  <c r="S297" i="10" s="1"/>
  <c r="E297" i="10" s="1"/>
  <c r="D295" i="22"/>
  <c r="R297" i="10" s="1"/>
  <c r="D297" i="10" s="1"/>
  <c r="F113" i="22"/>
  <c r="T115" i="10" s="1"/>
  <c r="F115" i="10" s="1"/>
  <c r="E113" i="22"/>
  <c r="S115" i="10" s="1"/>
  <c r="E115" i="10" s="1"/>
  <c r="D113" i="22"/>
  <c r="F283" i="22"/>
  <c r="T285" i="10" s="1"/>
  <c r="F285" i="10" s="1"/>
  <c r="E283" i="22"/>
  <c r="S285" i="10" s="1"/>
  <c r="E285" i="10" s="1"/>
  <c r="D283" i="22"/>
  <c r="R285" i="10" s="1"/>
  <c r="D285" i="10" s="1"/>
  <c r="F14" i="22"/>
  <c r="T16" i="10" s="1"/>
  <c r="F16" i="10" s="1"/>
  <c r="E14" i="22"/>
  <c r="S16" i="10" s="1"/>
  <c r="E16" i="10" s="1"/>
  <c r="D14" i="22"/>
  <c r="R16" i="10" s="1"/>
  <c r="D16" i="10" s="1"/>
  <c r="F11" i="22"/>
  <c r="T13" i="10" s="1"/>
  <c r="F13" i="10" s="1"/>
  <c r="E11" i="22"/>
  <c r="S13" i="10" s="1"/>
  <c r="E13" i="10" s="1"/>
  <c r="D11" i="22"/>
  <c r="R13" i="10" s="1"/>
  <c r="D13" i="10" s="1"/>
  <c r="F250" i="22"/>
  <c r="T252" i="10" s="1"/>
  <c r="F252" i="10" s="1"/>
  <c r="E250" i="22"/>
  <c r="S252" i="10" s="1"/>
  <c r="E252" i="10" s="1"/>
  <c r="D250" i="22"/>
  <c r="R252" i="10" s="1"/>
  <c r="D252" i="10" s="1"/>
  <c r="Q10" i="18"/>
  <c r="G13" i="22"/>
  <c r="U15" i="10" s="1"/>
  <c r="G15" i="10" s="1"/>
  <c r="F33" i="22"/>
  <c r="T35" i="10" s="1"/>
  <c r="F35" i="10" s="1"/>
  <c r="E33" i="22"/>
  <c r="S35" i="10" s="1"/>
  <c r="E35" i="10" s="1"/>
  <c r="D33" i="22"/>
  <c r="D277" i="22"/>
  <c r="R279" i="10" s="1"/>
  <c r="D279" i="10" s="1"/>
  <c r="F277" i="22"/>
  <c r="T279" i="10" s="1"/>
  <c r="F279" i="10" s="1"/>
  <c r="E277" i="22"/>
  <c r="S279" i="10" s="1"/>
  <c r="E279" i="10" s="1"/>
  <c r="F144" i="22"/>
  <c r="T146" i="10" s="1"/>
  <c r="F146" i="10" s="1"/>
  <c r="E144" i="22"/>
  <c r="S146" i="10" s="1"/>
  <c r="E146" i="10" s="1"/>
  <c r="D144" i="22"/>
  <c r="R146" i="10" s="1"/>
  <c r="D146" i="10" s="1"/>
  <c r="F218" i="22"/>
  <c r="T220" i="10" s="1"/>
  <c r="F220" i="10" s="1"/>
  <c r="E218" i="22"/>
  <c r="S220" i="10" s="1"/>
  <c r="E220" i="10" s="1"/>
  <c r="D218" i="22"/>
  <c r="R220" i="10" s="1"/>
  <c r="D220" i="10" s="1"/>
  <c r="F228" i="22"/>
  <c r="T230" i="10" s="1"/>
  <c r="F230" i="10" s="1"/>
  <c r="E228" i="22"/>
  <c r="S230" i="10" s="1"/>
  <c r="E230" i="10" s="1"/>
  <c r="D228" i="22"/>
  <c r="R230" i="10" s="1"/>
  <c r="D230" i="10" s="1"/>
  <c r="F85" i="22"/>
  <c r="T87" i="10" s="1"/>
  <c r="F87" i="10" s="1"/>
  <c r="E85" i="22"/>
  <c r="D85" i="22"/>
  <c r="R87" i="10" s="1"/>
  <c r="D87" i="10" s="1"/>
  <c r="F143" i="22"/>
  <c r="T145" i="10" s="1"/>
  <c r="F145" i="10" s="1"/>
  <c r="E143" i="22"/>
  <c r="S145" i="10" s="1"/>
  <c r="E145" i="10" s="1"/>
  <c r="D143" i="22"/>
  <c r="F74" i="22"/>
  <c r="T76" i="10" s="1"/>
  <c r="F76" i="10" s="1"/>
  <c r="E74" i="22"/>
  <c r="S76" i="10" s="1"/>
  <c r="E76" i="10" s="1"/>
  <c r="D74" i="22"/>
  <c r="R76" i="10" s="1"/>
  <c r="D76" i="10" s="1"/>
  <c r="F274" i="22"/>
  <c r="T276" i="10" s="1"/>
  <c r="F276" i="10" s="1"/>
  <c r="E274" i="22"/>
  <c r="S276" i="10" s="1"/>
  <c r="E276" i="10" s="1"/>
  <c r="D274" i="22"/>
  <c r="R276" i="10" s="1"/>
  <c r="D276" i="10" s="1"/>
  <c r="E264" i="22"/>
  <c r="S266" i="10" s="1"/>
  <c r="E266" i="10" s="1"/>
  <c r="D264" i="22"/>
  <c r="R266" i="10" s="1"/>
  <c r="D266" i="10" s="1"/>
  <c r="F264" i="22"/>
  <c r="T266" i="10" s="1"/>
  <c r="F266" i="10" s="1"/>
  <c r="E248" i="22"/>
  <c r="S250" i="10" s="1"/>
  <c r="E250" i="10" s="1"/>
  <c r="D248" i="22"/>
  <c r="R250" i="10" s="1"/>
  <c r="D250" i="10" s="1"/>
  <c r="F248" i="22"/>
  <c r="T250" i="10" s="1"/>
  <c r="F250" i="10" s="1"/>
  <c r="F167" i="22"/>
  <c r="T169" i="10" s="1"/>
  <c r="F169" i="10" s="1"/>
  <c r="E167" i="22"/>
  <c r="S169" i="10" s="1"/>
  <c r="E169" i="10" s="1"/>
  <c r="D167" i="22"/>
  <c r="R169" i="10" s="1"/>
  <c r="D169" i="10" s="1"/>
  <c r="E280" i="22"/>
  <c r="S282" i="10" s="1"/>
  <c r="E282" i="10" s="1"/>
  <c r="D280" i="22"/>
  <c r="R282" i="10" s="1"/>
  <c r="D282" i="10" s="1"/>
  <c r="F280" i="22"/>
  <c r="T282" i="10" s="1"/>
  <c r="F282" i="10" s="1"/>
  <c r="F54" i="22"/>
  <c r="T56" i="10" s="1"/>
  <c r="F56" i="10" s="1"/>
  <c r="E54" i="22"/>
  <c r="S56" i="10" s="1"/>
  <c r="E56" i="10" s="1"/>
  <c r="D54" i="22"/>
  <c r="R56" i="10" s="1"/>
  <c r="D56" i="10" s="1"/>
  <c r="F305" i="22"/>
  <c r="T308" i="10" s="1"/>
  <c r="F308" i="10" s="1"/>
  <c r="E305" i="22"/>
  <c r="S308" i="10" s="1"/>
  <c r="E308" i="10" s="1"/>
  <c r="D305" i="22"/>
  <c r="R308" i="10" s="1"/>
  <c r="D308" i="10" s="1"/>
  <c r="E224" i="22"/>
  <c r="S226" i="10" s="1"/>
  <c r="E226" i="10" s="1"/>
  <c r="D224" i="22"/>
  <c r="R226" i="10" s="1"/>
  <c r="D226" i="10" s="1"/>
  <c r="F224" i="22"/>
  <c r="T226" i="10" s="1"/>
  <c r="F226" i="10" s="1"/>
  <c r="F161" i="22"/>
  <c r="T163" i="10" s="1"/>
  <c r="F163" i="10" s="1"/>
  <c r="E161" i="22"/>
  <c r="S163" i="10" s="1"/>
  <c r="E163" i="10" s="1"/>
  <c r="D161" i="22"/>
  <c r="D123" i="22"/>
  <c r="R125" i="10" s="1"/>
  <c r="D125" i="10" s="1"/>
  <c r="F123" i="22"/>
  <c r="T125" i="10" s="1"/>
  <c r="F125" i="10" s="1"/>
  <c r="E123" i="22"/>
  <c r="S125" i="10" s="1"/>
  <c r="E125" i="10" s="1"/>
  <c r="F68" i="22"/>
  <c r="T70" i="10" s="1"/>
  <c r="F70" i="10" s="1"/>
  <c r="E68" i="22"/>
  <c r="S70" i="10" s="1"/>
  <c r="E70" i="10" s="1"/>
  <c r="D68" i="22"/>
  <c r="R70" i="10" s="1"/>
  <c r="D70" i="10" s="1"/>
  <c r="F179" i="22"/>
  <c r="T181" i="10" s="1"/>
  <c r="F181" i="10" s="1"/>
  <c r="E179" i="22"/>
  <c r="S181" i="10" s="1"/>
  <c r="E181" i="10" s="1"/>
  <c r="D179" i="22"/>
  <c r="R181" i="10" s="1"/>
  <c r="D181" i="10" s="1"/>
  <c r="E62" i="22"/>
  <c r="S64" i="10" s="1"/>
  <c r="E64" i="10" s="1"/>
  <c r="F62" i="22"/>
  <c r="T64" i="10" s="1"/>
  <c r="F64" i="10" s="1"/>
  <c r="D62" i="22"/>
  <c r="R64" i="10" s="1"/>
  <c r="D64" i="10" s="1"/>
  <c r="F95" i="22"/>
  <c r="T97" i="10" s="1"/>
  <c r="F97" i="10" s="1"/>
  <c r="E95" i="22"/>
  <c r="S97" i="10" s="1"/>
  <c r="E97" i="10" s="1"/>
  <c r="D95" i="22"/>
  <c r="R97" i="10" s="1"/>
  <c r="D97" i="10" s="1"/>
  <c r="F188" i="22"/>
  <c r="T190" i="10" s="1"/>
  <c r="F190" i="10" s="1"/>
  <c r="E188" i="22"/>
  <c r="S190" i="10" s="1"/>
  <c r="E190" i="10" s="1"/>
  <c r="D188" i="22"/>
  <c r="R190" i="10" s="1"/>
  <c r="D190" i="10" s="1"/>
  <c r="E208" i="22"/>
  <c r="S211" i="10" s="1"/>
  <c r="E211" i="10" s="1"/>
  <c r="D208" i="22"/>
  <c r="R211" i="10" s="1"/>
  <c r="D211" i="10" s="1"/>
  <c r="F208" i="22"/>
  <c r="T211" i="10" s="1"/>
  <c r="F211" i="10" s="1"/>
  <c r="D107" i="22"/>
  <c r="R109" i="10" s="1"/>
  <c r="D109" i="10" s="1"/>
  <c r="F107" i="22"/>
  <c r="T109" i="10" s="1"/>
  <c r="F109" i="10" s="1"/>
  <c r="E107" i="22"/>
  <c r="S109" i="10" s="1"/>
  <c r="E109" i="10" s="1"/>
  <c r="N130" i="18"/>
  <c r="P104" i="18"/>
  <c r="M200" i="18"/>
  <c r="P95" i="18"/>
  <c r="L200" i="18"/>
  <c r="C203" i="22" s="1"/>
  <c r="M62" i="18"/>
  <c r="N163" i="18"/>
  <c r="N289" i="18"/>
  <c r="L201" i="18"/>
  <c r="C204" i="22" s="1"/>
  <c r="M165" i="18"/>
  <c r="M278" i="18"/>
  <c r="O278" i="18"/>
  <c r="O229" i="18"/>
  <c r="N201" i="18"/>
  <c r="L278" i="18"/>
  <c r="C281" i="22" s="1"/>
  <c r="O201" i="18"/>
  <c r="N81" i="18"/>
  <c r="N182" i="18"/>
  <c r="O271" i="18"/>
  <c r="L163" i="18"/>
  <c r="C166" i="22" s="1"/>
  <c r="L195" i="18"/>
  <c r="C198" i="22" s="1"/>
  <c r="N206" i="18"/>
  <c r="O261" i="18"/>
  <c r="M191" i="18"/>
  <c r="M229" i="18"/>
  <c r="O191" i="18"/>
  <c r="N261" i="18"/>
  <c r="O12" i="18"/>
  <c r="M195" i="18"/>
  <c r="O24" i="18"/>
  <c r="L144" i="18"/>
  <c r="C147" i="22" s="1"/>
  <c r="N82" i="18"/>
  <c r="N27" i="18"/>
  <c r="L67" i="18"/>
  <c r="C70" i="22" s="1"/>
  <c r="O82" i="18"/>
  <c r="N67" i="18"/>
  <c r="O108" i="18"/>
  <c r="O28" i="18"/>
  <c r="N223" i="18"/>
  <c r="O280" i="18"/>
  <c r="M220" i="18"/>
  <c r="M47" i="18"/>
  <c r="N176" i="18"/>
  <c r="L244" i="18"/>
  <c r="C247" i="22" s="1"/>
  <c r="N214" i="18"/>
  <c r="M305" i="18"/>
  <c r="M155" i="18"/>
  <c r="O51" i="18"/>
  <c r="L238" i="18"/>
  <c r="C241" i="22" s="1"/>
  <c r="O144" i="18"/>
  <c r="O94" i="18"/>
  <c r="L82" i="18"/>
  <c r="C85" i="22" s="1"/>
  <c r="L103" i="18"/>
  <c r="C106" i="22" s="1"/>
  <c r="N28" i="18"/>
  <c r="O67" i="18"/>
  <c r="M27" i="18"/>
  <c r="N115" i="18"/>
  <c r="M108" i="18"/>
  <c r="N14" i="18"/>
  <c r="P120" i="18"/>
  <c r="L223" i="18"/>
  <c r="C226" i="22" s="1"/>
  <c r="M144" i="18"/>
  <c r="N108" i="18"/>
  <c r="O297" i="18"/>
  <c r="M223" i="18"/>
  <c r="O69" i="18"/>
  <c r="N244" i="18"/>
  <c r="M151" i="18"/>
  <c r="N204" i="18"/>
  <c r="N222" i="18"/>
  <c r="O171" i="18"/>
  <c r="M89" i="18"/>
  <c r="M133" i="18"/>
  <c r="L171" i="18"/>
  <c r="C174" i="22" s="1"/>
  <c r="N92" i="18"/>
  <c r="M36" i="18"/>
  <c r="M284" i="18"/>
  <c r="N171" i="18"/>
  <c r="M152" i="18"/>
  <c r="O244" i="18"/>
  <c r="L63" i="18"/>
  <c r="C66" i="22" s="1"/>
  <c r="O222" i="18"/>
  <c r="O188" i="18"/>
  <c r="L222" i="18"/>
  <c r="C225" i="22" s="1"/>
  <c r="N299" i="18"/>
  <c r="O185" i="18"/>
  <c r="M230" i="18"/>
  <c r="N200" i="18"/>
  <c r="M212" i="18"/>
  <c r="L231" i="18"/>
  <c r="C234" i="22" s="1"/>
  <c r="L229" i="18"/>
  <c r="C232" i="22" s="1"/>
  <c r="N191" i="18"/>
  <c r="M81" i="18"/>
  <c r="N255" i="18"/>
  <c r="L261" i="18"/>
  <c r="C264" i="22" s="1"/>
  <c r="N238" i="18"/>
  <c r="M12" i="18"/>
  <c r="L11" i="18"/>
  <c r="C14" i="22" s="1"/>
  <c r="O289" i="18"/>
  <c r="L71" i="18"/>
  <c r="C74" i="22" s="1"/>
  <c r="O181" i="18"/>
  <c r="O81" i="18"/>
  <c r="O255" i="18"/>
  <c r="M238" i="18"/>
  <c r="M253" i="18"/>
  <c r="M255" i="18"/>
  <c r="L12" i="18"/>
  <c r="C15" i="22" s="1"/>
  <c r="O206" i="18"/>
  <c r="L151" i="18"/>
  <c r="C154" i="22" s="1"/>
  <c r="M289" i="18"/>
  <c r="L62" i="18"/>
  <c r="C65" i="22" s="1"/>
  <c r="O71" i="18"/>
  <c r="O109" i="18"/>
  <c r="L230" i="18"/>
  <c r="C233" i="22" s="1"/>
  <c r="L24" i="18"/>
  <c r="C27" i="22" s="1"/>
  <c r="N271" i="18"/>
  <c r="L130" i="18"/>
  <c r="C133" i="22" s="1"/>
  <c r="O119" i="18"/>
  <c r="L54" i="18"/>
  <c r="C57" i="22" s="1"/>
  <c r="L206" i="18"/>
  <c r="C208" i="22" s="1"/>
  <c r="L46" i="18"/>
  <c r="C49" i="22" s="1"/>
  <c r="O151" i="18"/>
  <c r="M163" i="18"/>
  <c r="O62" i="18"/>
  <c r="N71" i="18"/>
  <c r="N195" i="18"/>
  <c r="N230" i="18"/>
  <c r="M24" i="18"/>
  <c r="L271" i="18"/>
  <c r="C274" i="22" s="1"/>
  <c r="M130" i="18"/>
  <c r="M66" i="18"/>
  <c r="O224" i="18"/>
  <c r="N40" i="18"/>
  <c r="O8" i="18"/>
  <c r="L47" i="18"/>
  <c r="C50" i="22" s="1"/>
  <c r="L69" i="18"/>
  <c r="C72" i="22" s="1"/>
  <c r="M69" i="18"/>
  <c r="M115" i="18"/>
  <c r="O236" i="18"/>
  <c r="N127" i="18"/>
  <c r="L100" i="18"/>
  <c r="C103" i="22" s="1"/>
  <c r="M224" i="18"/>
  <c r="N297" i="18"/>
  <c r="N8" i="18"/>
  <c r="M190" i="18"/>
  <c r="M127" i="18"/>
  <c r="N224" i="18"/>
  <c r="M236" i="18"/>
  <c r="L217" i="18"/>
  <c r="C220" i="22" s="1"/>
  <c r="M266" i="18"/>
  <c r="M297" i="18"/>
  <c r="M40" i="18"/>
  <c r="O27" i="18"/>
  <c r="L189" i="18"/>
  <c r="C192" i="22" s="1"/>
  <c r="O178" i="18"/>
  <c r="M103" i="18"/>
  <c r="N165" i="18"/>
  <c r="M53" i="18"/>
  <c r="L147" i="18"/>
  <c r="C150" i="22" s="1"/>
  <c r="N236" i="18"/>
  <c r="O221" i="18"/>
  <c r="N217" i="18"/>
  <c r="L266" i="18"/>
  <c r="C269" i="22" s="1"/>
  <c r="O40" i="18"/>
  <c r="O103" i="18"/>
  <c r="M286" i="18"/>
  <c r="O165" i="18"/>
  <c r="L221" i="18"/>
  <c r="C224" i="22" s="1"/>
  <c r="L234" i="18"/>
  <c r="C237" i="22" s="1"/>
  <c r="M217" i="18"/>
  <c r="O266" i="18"/>
  <c r="N286" i="18"/>
  <c r="N221" i="18"/>
  <c r="N234" i="18"/>
  <c r="L286" i="18"/>
  <c r="C289" i="22" s="1"/>
  <c r="L115" i="18"/>
  <c r="C118" i="22" s="1"/>
  <c r="N47" i="18"/>
  <c r="M234" i="18"/>
  <c r="L8" i="18"/>
  <c r="C11" i="22" s="1"/>
  <c r="L127" i="18"/>
  <c r="C130" i="22" s="1"/>
  <c r="N302" i="18"/>
  <c r="N155" i="18"/>
  <c r="L51" i="18"/>
  <c r="C54" i="22" s="1"/>
  <c r="N288" i="18"/>
  <c r="O292" i="18"/>
  <c r="L153" i="18"/>
  <c r="C156" i="22" s="1"/>
  <c r="L155" i="18"/>
  <c r="C158" i="22" s="1"/>
  <c r="N245" i="18"/>
  <c r="M161" i="18"/>
  <c r="O245" i="18"/>
  <c r="M72" i="18"/>
  <c r="O279" i="18"/>
  <c r="N110" i="18"/>
  <c r="M207" i="18"/>
  <c r="L43" i="18"/>
  <c r="C46" i="22" s="1"/>
  <c r="O235" i="18"/>
  <c r="N51" i="18"/>
  <c r="L225" i="18"/>
  <c r="C228" i="22" s="1"/>
  <c r="O14" i="18"/>
  <c r="M117" i="18"/>
  <c r="O182" i="18"/>
  <c r="L14" i="18"/>
  <c r="C17" i="22" s="1"/>
  <c r="L138" i="18"/>
  <c r="C141" i="22" s="1"/>
  <c r="M182" i="18"/>
  <c r="O225" i="18"/>
  <c r="P218" i="18"/>
  <c r="O197" i="18"/>
  <c r="M28" i="18"/>
  <c r="N225" i="18"/>
  <c r="N277" i="18"/>
  <c r="M265" i="18"/>
  <c r="M197" i="18"/>
  <c r="N167" i="18"/>
  <c r="O129" i="18"/>
  <c r="O299" i="18"/>
  <c r="L89" i="18"/>
  <c r="C92" i="22" s="1"/>
  <c r="O207" i="18"/>
  <c r="O133" i="18"/>
  <c r="L92" i="18"/>
  <c r="C95" i="22" s="1"/>
  <c r="M188" i="18"/>
  <c r="O153" i="18"/>
  <c r="O204" i="18"/>
  <c r="L110" i="18"/>
  <c r="C113" i="22" s="1"/>
  <c r="N43" i="18"/>
  <c r="N235" i="18"/>
  <c r="M147" i="18"/>
  <c r="M167" i="18"/>
  <c r="N207" i="18"/>
  <c r="M214" i="18"/>
  <c r="O92" i="18"/>
  <c r="L188" i="18"/>
  <c r="C191" i="22" s="1"/>
  <c r="M153" i="18"/>
  <c r="M204" i="18"/>
  <c r="O110" i="18"/>
  <c r="M235" i="18"/>
  <c r="N147" i="18"/>
  <c r="O167" i="18"/>
  <c r="M123" i="18"/>
  <c r="L214" i="18"/>
  <c r="C217" i="22" s="1"/>
  <c r="O288" i="18"/>
  <c r="N36" i="18"/>
  <c r="L185" i="18"/>
  <c r="C188" i="22" s="1"/>
  <c r="L305" i="18"/>
  <c r="C308" i="22" s="1"/>
  <c r="L302" i="18"/>
  <c r="C305" i="22" s="1"/>
  <c r="L245" i="18"/>
  <c r="C248" i="22" s="1"/>
  <c r="N63" i="18"/>
  <c r="O72" i="18"/>
  <c r="M288" i="18"/>
  <c r="L36" i="18"/>
  <c r="C39" i="22" s="1"/>
  <c r="N185" i="18"/>
  <c r="N279" i="18"/>
  <c r="L284" i="18"/>
  <c r="C287" i="22" s="1"/>
  <c r="N305" i="18"/>
  <c r="O302" i="18"/>
  <c r="N152" i="18"/>
  <c r="L292" i="18"/>
  <c r="C295" i="22" s="1"/>
  <c r="N66" i="18"/>
  <c r="L277" i="18"/>
  <c r="C280" i="22" s="1"/>
  <c r="M299" i="18"/>
  <c r="O89" i="18"/>
  <c r="O63" i="18"/>
  <c r="L72" i="18"/>
  <c r="C75" i="22" s="1"/>
  <c r="L133" i="18"/>
  <c r="C136" i="22" s="1"/>
  <c r="M279" i="18"/>
  <c r="N284" i="18"/>
  <c r="M43" i="18"/>
  <c r="O152" i="18"/>
  <c r="N292" i="18"/>
  <c r="L66" i="18"/>
  <c r="C69" i="22" s="1"/>
  <c r="O277" i="18"/>
  <c r="M121" i="18"/>
  <c r="N161" i="18"/>
  <c r="N247" i="18"/>
  <c r="M174" i="18"/>
  <c r="N212" i="18"/>
  <c r="N94" i="18"/>
  <c r="O41" i="18"/>
  <c r="L253" i="18"/>
  <c r="C256" i="22" s="1"/>
  <c r="M17" i="18"/>
  <c r="M119" i="18"/>
  <c r="O212" i="18"/>
  <c r="N253" i="18"/>
  <c r="L181" i="18"/>
  <c r="C184" i="22" s="1"/>
  <c r="N76" i="18"/>
  <c r="L119" i="18"/>
  <c r="C122" i="22" s="1"/>
  <c r="O99" i="18"/>
  <c r="O205" i="18"/>
  <c r="M295" i="18"/>
  <c r="N181" i="18"/>
  <c r="M76" i="18"/>
  <c r="M169" i="18"/>
  <c r="O58" i="18"/>
  <c r="N99" i="18"/>
  <c r="M205" i="18"/>
  <c r="L303" i="18"/>
  <c r="C306" i="22" s="1"/>
  <c r="O295" i="18"/>
  <c r="L76" i="18"/>
  <c r="C79" i="22" s="1"/>
  <c r="O169" i="18"/>
  <c r="N58" i="18"/>
  <c r="N174" i="18"/>
  <c r="M99" i="18"/>
  <c r="N41" i="18"/>
  <c r="L205" i="18"/>
  <c r="C207" i="22" s="1"/>
  <c r="N303" i="18"/>
  <c r="L295" i="18"/>
  <c r="C298" i="22" s="1"/>
  <c r="N17" i="18"/>
  <c r="N169" i="18"/>
  <c r="O97" i="18"/>
  <c r="M58" i="18"/>
  <c r="O174" i="18"/>
  <c r="M94" i="18"/>
  <c r="L41" i="18"/>
  <c r="C44" i="22" s="1"/>
  <c r="M303" i="18"/>
  <c r="L17" i="18"/>
  <c r="C20" i="22" s="1"/>
  <c r="N97" i="18"/>
  <c r="N280" i="18"/>
  <c r="N11" i="18"/>
  <c r="N54" i="18"/>
  <c r="N46" i="18"/>
  <c r="L220" i="18"/>
  <c r="C223" i="22" s="1"/>
  <c r="L53" i="18"/>
  <c r="C56" i="22" s="1"/>
  <c r="O117" i="18"/>
  <c r="O265" i="18"/>
  <c r="L280" i="18"/>
  <c r="C283" i="22" s="1"/>
  <c r="M46" i="18"/>
  <c r="M68" i="18"/>
  <c r="N117" i="18"/>
  <c r="N265" i="18"/>
  <c r="O231" i="18"/>
  <c r="O157" i="18"/>
  <c r="N125" i="18"/>
  <c r="N68" i="18"/>
  <c r="M231" i="18"/>
  <c r="M157" i="18"/>
  <c r="O125" i="18"/>
  <c r="L159" i="18"/>
  <c r="C162" i="22" s="1"/>
  <c r="L68" i="18"/>
  <c r="C71" i="22" s="1"/>
  <c r="N157" i="18"/>
  <c r="M125" i="18"/>
  <c r="N178" i="18"/>
  <c r="N109" i="18"/>
  <c r="M159" i="18"/>
  <c r="M178" i="18"/>
  <c r="M109" i="18"/>
  <c r="O220" i="18"/>
  <c r="O159" i="18"/>
  <c r="N53" i="18"/>
  <c r="O11" i="18"/>
  <c r="M54" i="18"/>
  <c r="M37" i="18"/>
  <c r="L247" i="18"/>
  <c r="C250" i="22" s="1"/>
  <c r="O294" i="18"/>
  <c r="O247" i="18"/>
  <c r="N156" i="18"/>
  <c r="O156" i="18"/>
  <c r="L37" i="18"/>
  <c r="C40" i="22" s="1"/>
  <c r="L156" i="18"/>
  <c r="C159" i="22" s="1"/>
  <c r="L129" i="18"/>
  <c r="C132" i="22" s="1"/>
  <c r="N37" i="18"/>
  <c r="M294" i="18"/>
  <c r="N129" i="18"/>
  <c r="N158" i="18"/>
  <c r="L294" i="18"/>
  <c r="C297" i="22" s="1"/>
  <c r="P140" i="18"/>
  <c r="P56" i="18"/>
  <c r="L141" i="18"/>
  <c r="C144" i="22" s="1"/>
  <c r="O161" i="18"/>
  <c r="L197" i="18"/>
  <c r="C200" i="22" s="1"/>
  <c r="O215" i="18"/>
  <c r="M138" i="18"/>
  <c r="P240" i="18"/>
  <c r="P216" i="18"/>
  <c r="L158" i="18"/>
  <c r="C161" i="22" s="1"/>
  <c r="N29" i="18"/>
  <c r="O158" i="18"/>
  <c r="M70" i="18"/>
  <c r="N91" i="18"/>
  <c r="L91" i="18"/>
  <c r="C94" i="22" s="1"/>
  <c r="O91" i="18"/>
  <c r="M91" i="18"/>
  <c r="O29" i="18"/>
  <c r="P164" i="18"/>
  <c r="M29" i="18"/>
  <c r="M97" i="18"/>
  <c r="N138" i="18"/>
  <c r="N175" i="18"/>
  <c r="N249" i="18"/>
  <c r="M249" i="18"/>
  <c r="L175" i="18"/>
  <c r="C178" i="22" s="1"/>
  <c r="L70" i="18"/>
  <c r="C73" i="22" s="1"/>
  <c r="M100" i="18"/>
  <c r="M175" i="18"/>
  <c r="N70" i="18"/>
  <c r="O100" i="18"/>
  <c r="O55" i="18"/>
  <c r="L249" i="18"/>
  <c r="C252" i="22" s="1"/>
  <c r="L287" i="18"/>
  <c r="C290" i="22" s="1"/>
  <c r="O123" i="18"/>
  <c r="L176" i="18"/>
  <c r="C179" i="22" s="1"/>
  <c r="L123" i="18"/>
  <c r="C126" i="22" s="1"/>
  <c r="M44" i="18"/>
  <c r="N55" i="18"/>
  <c r="O287" i="18"/>
  <c r="N137" i="18"/>
  <c r="O176" i="18"/>
  <c r="N57" i="18"/>
  <c r="N281" i="18"/>
  <c r="N287" i="18"/>
  <c r="M88" i="18"/>
  <c r="M57" i="18"/>
  <c r="O281" i="18"/>
  <c r="P31" i="18"/>
  <c r="P274" i="18"/>
  <c r="N88" i="18"/>
  <c r="L112" i="18"/>
  <c r="C115" i="22" s="1"/>
  <c r="O57" i="18"/>
  <c r="L281" i="18"/>
  <c r="C284" i="22" s="1"/>
  <c r="L88" i="18"/>
  <c r="C91" i="22" s="1"/>
  <c r="M112" i="18"/>
  <c r="N15" i="18"/>
  <c r="N44" i="18"/>
  <c r="O112" i="18"/>
  <c r="L44" i="18"/>
  <c r="C47" i="22" s="1"/>
  <c r="M55" i="18"/>
  <c r="M180" i="18"/>
  <c r="N199" i="18"/>
  <c r="M301" i="18"/>
  <c r="P291" i="18"/>
  <c r="P65" i="18"/>
  <c r="O189" i="18"/>
  <c r="N180" i="18"/>
  <c r="P219" i="18"/>
  <c r="N190" i="18"/>
  <c r="O301" i="18"/>
  <c r="L215" i="18"/>
  <c r="C218" i="22" s="1"/>
  <c r="N141" i="18"/>
  <c r="O15" i="18"/>
  <c r="M189" i="18"/>
  <c r="L137" i="18"/>
  <c r="C140" i="22" s="1"/>
  <c r="L180" i="18"/>
  <c r="C183" i="22" s="1"/>
  <c r="O190" i="18"/>
  <c r="N301" i="18"/>
  <c r="N215" i="18"/>
  <c r="O141" i="18"/>
  <c r="O199" i="18"/>
  <c r="M15" i="18"/>
  <c r="O137" i="18"/>
  <c r="M199" i="18"/>
  <c r="P203" i="18"/>
  <c r="P298" i="18"/>
  <c r="P202" i="18"/>
  <c r="O121" i="18"/>
  <c r="L102" i="18"/>
  <c r="C105" i="22" s="1"/>
  <c r="N102" i="18"/>
  <c r="O102" i="18"/>
  <c r="M102" i="18"/>
  <c r="L300" i="18"/>
  <c r="C303" i="22" s="1"/>
  <c r="N300" i="18"/>
  <c r="O300" i="18"/>
  <c r="M300" i="18"/>
  <c r="L273" i="18"/>
  <c r="C276" i="22" s="1"/>
  <c r="N273" i="18"/>
  <c r="M273" i="18"/>
  <c r="O273" i="18"/>
  <c r="N267" i="18"/>
  <c r="M267" i="18"/>
  <c r="O267" i="18"/>
  <c r="L267" i="18"/>
  <c r="C270" i="22" s="1"/>
  <c r="O77" i="18"/>
  <c r="M77" i="18"/>
  <c r="N77" i="18"/>
  <c r="L77" i="18"/>
  <c r="C80" i="22" s="1"/>
  <c r="N243" i="18"/>
  <c r="O243" i="18"/>
  <c r="L243" i="18"/>
  <c r="C246" i="22" s="1"/>
  <c r="M243" i="18"/>
  <c r="M48" i="18"/>
  <c r="N48" i="18"/>
  <c r="O48" i="18"/>
  <c r="L48" i="18"/>
  <c r="C51" i="22" s="1"/>
  <c r="M170" i="18"/>
  <c r="N170" i="18"/>
  <c r="L170" i="18"/>
  <c r="C173" i="22" s="1"/>
  <c r="O170" i="18"/>
  <c r="N228" i="18"/>
  <c r="L228" i="18"/>
  <c r="C231" i="22" s="1"/>
  <c r="O228" i="18"/>
  <c r="M228" i="18"/>
  <c r="L270" i="18"/>
  <c r="C273" i="22" s="1"/>
  <c r="M270" i="18"/>
  <c r="O270" i="18"/>
  <c r="N270" i="18"/>
  <c r="L256" i="18"/>
  <c r="C259" i="22" s="1"/>
  <c r="M256" i="18"/>
  <c r="O256" i="18"/>
  <c r="N256" i="18"/>
  <c r="M131" i="18"/>
  <c r="N131" i="18"/>
  <c r="L131" i="18"/>
  <c r="C134" i="22" s="1"/>
  <c r="O131" i="18"/>
  <c r="M237" i="18"/>
  <c r="N237" i="18"/>
  <c r="L237" i="18"/>
  <c r="C240" i="22" s="1"/>
  <c r="O237" i="18"/>
  <c r="M78" i="18"/>
  <c r="L78" i="18"/>
  <c r="C81" i="22" s="1"/>
  <c r="O78" i="18"/>
  <c r="N78" i="18"/>
  <c r="M33" i="18"/>
  <c r="O33" i="18"/>
  <c r="L33" i="18"/>
  <c r="C36" i="22" s="1"/>
  <c r="N33" i="18"/>
  <c r="N87" i="18"/>
  <c r="M87" i="18"/>
  <c r="O87" i="18"/>
  <c r="L87" i="18"/>
  <c r="C90" i="22" s="1"/>
  <c r="O232" i="18"/>
  <c r="L232" i="18"/>
  <c r="C235" i="22" s="1"/>
  <c r="N232" i="18"/>
  <c r="M232" i="18"/>
  <c r="M198" i="18"/>
  <c r="N198" i="18"/>
  <c r="L198" i="18"/>
  <c r="C201" i="22" s="1"/>
  <c r="O198" i="18"/>
  <c r="O276" i="18"/>
  <c r="N276" i="18"/>
  <c r="M276" i="18"/>
  <c r="L276" i="18"/>
  <c r="C279" i="22" s="1"/>
  <c r="O263" i="18"/>
  <c r="L263" i="18"/>
  <c r="C266" i="22" s="1"/>
  <c r="N263" i="18"/>
  <c r="M263" i="18"/>
  <c r="M272" i="18"/>
  <c r="O272" i="18"/>
  <c r="N272" i="18"/>
  <c r="L272" i="18"/>
  <c r="C275" i="22" s="1"/>
  <c r="O9" i="18"/>
  <c r="M9" i="18"/>
  <c r="L9" i="18"/>
  <c r="C12" i="22" s="1"/>
  <c r="N9" i="18"/>
  <c r="O187" i="18"/>
  <c r="M187" i="18"/>
  <c r="N187" i="18"/>
  <c r="L187" i="18"/>
  <c r="C190" i="22" s="1"/>
  <c r="L149" i="18"/>
  <c r="C152" i="22" s="1"/>
  <c r="N149" i="18"/>
  <c r="M149" i="18"/>
  <c r="O149" i="18"/>
  <c r="P186" i="18"/>
  <c r="N162" i="18"/>
  <c r="L162" i="18"/>
  <c r="C165" i="22" s="1"/>
  <c r="M162" i="18"/>
  <c r="O162" i="18"/>
  <c r="M154" i="18"/>
  <c r="L154" i="18"/>
  <c r="C157" i="22" s="1"/>
  <c r="N154" i="18"/>
  <c r="O154" i="18"/>
  <c r="M192" i="18"/>
  <c r="O192" i="18"/>
  <c r="L192" i="18"/>
  <c r="C195" i="22" s="1"/>
  <c r="N192" i="18"/>
  <c r="M173" i="18"/>
  <c r="O173" i="18"/>
  <c r="L173" i="18"/>
  <c r="C176" i="22" s="1"/>
  <c r="N173" i="18"/>
  <c r="O61" i="18"/>
  <c r="L61" i="18"/>
  <c r="C64" i="22" s="1"/>
  <c r="N61" i="18"/>
  <c r="M61" i="18"/>
  <c r="M148" i="18"/>
  <c r="L148" i="18"/>
  <c r="C151" i="22" s="1"/>
  <c r="O148" i="18"/>
  <c r="N148" i="18"/>
  <c r="N16" i="18"/>
  <c r="O16" i="18"/>
  <c r="L16" i="18"/>
  <c r="C19" i="22" s="1"/>
  <c r="M16" i="18"/>
  <c r="O179" i="18"/>
  <c r="L179" i="18"/>
  <c r="C182" i="22" s="1"/>
  <c r="M179" i="18"/>
  <c r="N179" i="18"/>
  <c r="O258" i="18"/>
  <c r="N258" i="18"/>
  <c r="M258" i="18"/>
  <c r="L258" i="18"/>
  <c r="C261" i="22" s="1"/>
  <c r="L268" i="18"/>
  <c r="C271" i="22" s="1"/>
  <c r="M268" i="18"/>
  <c r="N268" i="18"/>
  <c r="O268" i="18"/>
  <c r="L32" i="18"/>
  <c r="C35" i="22" s="1"/>
  <c r="M32" i="18"/>
  <c r="O32" i="18"/>
  <c r="N32" i="18"/>
  <c r="L111" i="18"/>
  <c r="C114" i="22" s="1"/>
  <c r="O111" i="18"/>
  <c r="M111" i="18"/>
  <c r="N111" i="18"/>
  <c r="N142" i="18"/>
  <c r="L142" i="18"/>
  <c r="C145" i="22" s="1"/>
  <c r="O142" i="18"/>
  <c r="M142" i="18"/>
  <c r="M19" i="18"/>
  <c r="O19" i="18"/>
  <c r="N19" i="18"/>
  <c r="L19" i="18"/>
  <c r="C22" i="22" s="1"/>
  <c r="O21" i="18"/>
  <c r="M21" i="18"/>
  <c r="L21" i="18"/>
  <c r="C24" i="22" s="1"/>
  <c r="N21" i="18"/>
  <c r="O124" i="18"/>
  <c r="L124" i="18"/>
  <c r="C127" i="22" s="1"/>
  <c r="M124" i="18"/>
  <c r="N124" i="18"/>
  <c r="M64" i="18"/>
  <c r="L64" i="18"/>
  <c r="C67" i="22" s="1"/>
  <c r="N64" i="18"/>
  <c r="O64" i="18"/>
  <c r="M34" i="18"/>
  <c r="N34" i="18"/>
  <c r="O34" i="18"/>
  <c r="L34" i="18"/>
  <c r="C37" i="22" s="1"/>
  <c r="O23" i="18"/>
  <c r="M23" i="18"/>
  <c r="N23" i="18"/>
  <c r="L23" i="18"/>
  <c r="C26" i="22" s="1"/>
  <c r="N210" i="18"/>
  <c r="M210" i="18"/>
  <c r="L210" i="18"/>
  <c r="C213" i="22" s="1"/>
  <c r="O210" i="18"/>
  <c r="M213" i="18"/>
  <c r="L213" i="18"/>
  <c r="C216" i="22" s="1"/>
  <c r="N213" i="18"/>
  <c r="O213" i="18"/>
  <c r="M79" i="18"/>
  <c r="O79" i="18"/>
  <c r="L79" i="18"/>
  <c r="C82" i="22" s="1"/>
  <c r="N79" i="18"/>
  <c r="O6" i="18"/>
  <c r="N6" i="18"/>
  <c r="L6" i="18"/>
  <c r="C9" i="22" s="1"/>
  <c r="M6" i="18"/>
  <c r="O50" i="18"/>
  <c r="N50" i="18"/>
  <c r="L50" i="18"/>
  <c r="C53" i="22" s="1"/>
  <c r="M50" i="18"/>
  <c r="O208" i="18"/>
  <c r="L208" i="18"/>
  <c r="C211" i="22" s="1"/>
  <c r="M208" i="18"/>
  <c r="N208" i="18"/>
  <c r="O177" i="18"/>
  <c r="N177" i="18"/>
  <c r="L177" i="18"/>
  <c r="C180" i="22" s="1"/>
  <c r="M177" i="18"/>
  <c r="N60" i="18"/>
  <c r="O60" i="18"/>
  <c r="M60" i="18"/>
  <c r="L60" i="18"/>
  <c r="C63" i="22" s="1"/>
  <c r="M73" i="18"/>
  <c r="N73" i="18"/>
  <c r="O73" i="18"/>
  <c r="L73" i="18"/>
  <c r="C76" i="22" s="1"/>
  <c r="O264" i="18"/>
  <c r="L264" i="18"/>
  <c r="C267" i="22" s="1"/>
  <c r="N264" i="18"/>
  <c r="M264" i="18"/>
  <c r="O35" i="18"/>
  <c r="L35" i="18"/>
  <c r="C38" i="22" s="1"/>
  <c r="N35" i="18"/>
  <c r="M35" i="18"/>
  <c r="L93" i="18"/>
  <c r="C96" i="22" s="1"/>
  <c r="O93" i="18"/>
  <c r="M93" i="18"/>
  <c r="N93" i="18"/>
  <c r="N96" i="18"/>
  <c r="L96" i="18"/>
  <c r="C99" i="22" s="1"/>
  <c r="M96" i="18"/>
  <c r="O96" i="18"/>
  <c r="O98" i="18"/>
  <c r="L98" i="18"/>
  <c r="C101" i="22" s="1"/>
  <c r="M98" i="18"/>
  <c r="N98" i="18"/>
  <c r="N22" i="18"/>
  <c r="O22" i="18"/>
  <c r="M22" i="18"/>
  <c r="L22" i="18"/>
  <c r="C25" i="22" s="1"/>
  <c r="O135" i="18"/>
  <c r="L135" i="18"/>
  <c r="C138" i="22" s="1"/>
  <c r="N135" i="18"/>
  <c r="M135" i="18"/>
  <c r="N74" i="18"/>
  <c r="O74" i="18"/>
  <c r="L74" i="18"/>
  <c r="C77" i="22" s="1"/>
  <c r="M74" i="18"/>
  <c r="L136" i="18"/>
  <c r="C139" i="22" s="1"/>
  <c r="N136" i="18"/>
  <c r="O136" i="18"/>
  <c r="M136" i="18"/>
  <c r="O25" i="18"/>
  <c r="L25" i="18"/>
  <c r="C28" i="22" s="1"/>
  <c r="N25" i="18"/>
  <c r="M25" i="18"/>
  <c r="N75" i="18"/>
  <c r="M75" i="18"/>
  <c r="L75" i="18"/>
  <c r="C78" i="22" s="1"/>
  <c r="O75" i="18"/>
  <c r="L38" i="18"/>
  <c r="C41" i="22" s="1"/>
  <c r="N38" i="18"/>
  <c r="O38" i="18"/>
  <c r="M38" i="18"/>
  <c r="O239" i="18"/>
  <c r="M239" i="18"/>
  <c r="N239" i="18"/>
  <c r="L239" i="18"/>
  <c r="C242" i="22" s="1"/>
  <c r="M101" i="18"/>
  <c r="L101" i="18"/>
  <c r="C104" i="22" s="1"/>
  <c r="N101" i="18"/>
  <c r="O101" i="18"/>
  <c r="N184" i="18"/>
  <c r="L184" i="18"/>
  <c r="C187" i="22" s="1"/>
  <c r="O184" i="18"/>
  <c r="M184" i="18"/>
  <c r="N143" i="18"/>
  <c r="O143" i="18"/>
  <c r="L143" i="18"/>
  <c r="C146" i="22" s="1"/>
  <c r="M143" i="18"/>
  <c r="O296" i="18"/>
  <c r="M296" i="18"/>
  <c r="N296" i="18"/>
  <c r="L296" i="18"/>
  <c r="C299" i="22" s="1"/>
  <c r="L145" i="18"/>
  <c r="C148" i="22" s="1"/>
  <c r="M145" i="18"/>
  <c r="O145" i="18"/>
  <c r="N145" i="18"/>
  <c r="M49" i="18"/>
  <c r="L49" i="18"/>
  <c r="C52" i="22" s="1"/>
  <c r="O49" i="18"/>
  <c r="N49" i="18"/>
  <c r="O146" i="18"/>
  <c r="M146" i="18"/>
  <c r="N146" i="18"/>
  <c r="L146" i="18"/>
  <c r="C149" i="22" s="1"/>
  <c r="M168" i="18"/>
  <c r="N168" i="18"/>
  <c r="L168" i="18"/>
  <c r="C171" i="22" s="1"/>
  <c r="O168" i="18"/>
  <c r="N293" i="18"/>
  <c r="O293" i="18"/>
  <c r="L293" i="18"/>
  <c r="C296" i="22" s="1"/>
  <c r="M293" i="18"/>
  <c r="P30" i="18"/>
  <c r="M39" i="18"/>
  <c r="O39" i="18"/>
  <c r="L39" i="18"/>
  <c r="C42" i="22" s="1"/>
  <c r="N39" i="18"/>
  <c r="O139" i="18"/>
  <c r="N139" i="18"/>
  <c r="M139" i="18"/>
  <c r="L139" i="18"/>
  <c r="C142" i="22" s="1"/>
  <c r="M80" i="18"/>
  <c r="O80" i="18"/>
  <c r="N80" i="18"/>
  <c r="L80" i="18"/>
  <c r="C83" i="22" s="1"/>
  <c r="N209" i="18"/>
  <c r="L209" i="18"/>
  <c r="C212" i="22" s="1"/>
  <c r="O209" i="18"/>
  <c r="M209" i="18"/>
  <c r="N166" i="18"/>
  <c r="M166" i="18"/>
  <c r="O166" i="18"/>
  <c r="L166" i="18"/>
  <c r="C169" i="22" s="1"/>
  <c r="M85" i="18"/>
  <c r="N85" i="18"/>
  <c r="O85" i="18"/>
  <c r="L85" i="18"/>
  <c r="C88" i="22" s="1"/>
  <c r="N242" i="18"/>
  <c r="O242" i="18"/>
  <c r="L242" i="18"/>
  <c r="C245" i="22" s="1"/>
  <c r="M242" i="18"/>
  <c r="N246" i="18"/>
  <c r="M246" i="18"/>
  <c r="L246" i="18"/>
  <c r="C249" i="22" s="1"/>
  <c r="O246" i="18"/>
  <c r="N252" i="18"/>
  <c r="L252" i="18"/>
  <c r="C255" i="22" s="1"/>
  <c r="O252" i="18"/>
  <c r="M252" i="18"/>
  <c r="O193" i="18"/>
  <c r="L193" i="18"/>
  <c r="C196" i="22" s="1"/>
  <c r="N193" i="18"/>
  <c r="M193" i="18"/>
  <c r="O13" i="18"/>
  <c r="L13" i="18"/>
  <c r="C16" i="22" s="1"/>
  <c r="N13" i="18"/>
  <c r="M13" i="18"/>
  <c r="P7" i="18"/>
  <c r="L150" i="18"/>
  <c r="C153" i="22" s="1"/>
  <c r="O150" i="18"/>
  <c r="M150" i="18"/>
  <c r="N150" i="18"/>
  <c r="L307" i="18"/>
  <c r="C310" i="22" s="1"/>
  <c r="O307" i="18"/>
  <c r="M307" i="18"/>
  <c r="N307" i="18"/>
  <c r="L118" i="18"/>
  <c r="C121" i="22" s="1"/>
  <c r="O118" i="18"/>
  <c r="N118" i="18"/>
  <c r="M118" i="18"/>
  <c r="O18" i="18"/>
  <c r="L18" i="18"/>
  <c r="C21" i="22" s="1"/>
  <c r="N18" i="18"/>
  <c r="M18" i="18"/>
  <c r="M126" i="18"/>
  <c r="L126" i="18"/>
  <c r="C129" i="22" s="1"/>
  <c r="N126" i="18"/>
  <c r="O126" i="18"/>
  <c r="O260" i="18"/>
  <c r="L260" i="18"/>
  <c r="C263" i="22" s="1"/>
  <c r="M260" i="18"/>
  <c r="N260" i="18"/>
  <c r="O283" i="18"/>
  <c r="M283" i="18"/>
  <c r="N283" i="18"/>
  <c r="L283" i="18"/>
  <c r="C286" i="22" s="1"/>
  <c r="N121" i="18"/>
  <c r="N259" i="18"/>
  <c r="L259" i="18"/>
  <c r="C262" i="22" s="1"/>
  <c r="O259" i="18"/>
  <c r="M259" i="18"/>
  <c r="O45" i="18"/>
  <c r="M45" i="18"/>
  <c r="N45" i="18"/>
  <c r="L45" i="18"/>
  <c r="C48" i="22" s="1"/>
  <c r="L107" i="18"/>
  <c r="C110" i="22" s="1"/>
  <c r="N107" i="18"/>
  <c r="M107" i="18"/>
  <c r="O107" i="18"/>
  <c r="N241" i="18"/>
  <c r="O241" i="18"/>
  <c r="L241" i="18"/>
  <c r="C244" i="22" s="1"/>
  <c r="M241" i="18"/>
  <c r="M257" i="18"/>
  <c r="O257" i="18"/>
  <c r="N257" i="18"/>
  <c r="L257" i="18"/>
  <c r="C260" i="22" s="1"/>
  <c r="M52" i="18"/>
  <c r="N52" i="18"/>
  <c r="O52" i="18"/>
  <c r="L52" i="18"/>
  <c r="C55" i="22" s="1"/>
  <c r="O269" i="18"/>
  <c r="N269" i="18"/>
  <c r="L269" i="18"/>
  <c r="C272" i="22" s="1"/>
  <c r="M269" i="18"/>
  <c r="O160" i="18"/>
  <c r="L160" i="18"/>
  <c r="C163" i="22" s="1"/>
  <c r="N160" i="18"/>
  <c r="M160" i="18"/>
  <c r="L226" i="18"/>
  <c r="C229" i="22" s="1"/>
  <c r="N226" i="18"/>
  <c r="M226" i="18"/>
  <c r="O226" i="18"/>
  <c r="O211" i="18"/>
  <c r="L211" i="18"/>
  <c r="C214" i="22" s="1"/>
  <c r="M211" i="18"/>
  <c r="N211" i="18"/>
  <c r="L128" i="18"/>
  <c r="C131" i="22" s="1"/>
  <c r="N128" i="18"/>
  <c r="O128" i="18"/>
  <c r="M128" i="18"/>
  <c r="N194" i="18"/>
  <c r="O194" i="18"/>
  <c r="L194" i="18"/>
  <c r="C197" i="22" s="1"/>
  <c r="M194" i="18"/>
  <c r="N90" i="18"/>
  <c r="M90" i="18"/>
  <c r="L90" i="18"/>
  <c r="C93" i="22" s="1"/>
  <c r="O90" i="18"/>
  <c r="N105" i="18"/>
  <c r="O105" i="18"/>
  <c r="M105" i="18"/>
  <c r="L105" i="18"/>
  <c r="C108" i="22" s="1"/>
  <c r="N114" i="18"/>
  <c r="L114" i="18"/>
  <c r="C117" i="22" s="1"/>
  <c r="M114" i="18"/>
  <c r="O114" i="18"/>
  <c r="L83" i="18"/>
  <c r="C86" i="22" s="1"/>
  <c r="O83" i="18"/>
  <c r="M83" i="18"/>
  <c r="N83" i="18"/>
  <c r="L254" i="18"/>
  <c r="C257" i="22" s="1"/>
  <c r="O254" i="18"/>
  <c r="M254" i="18"/>
  <c r="N254" i="18"/>
  <c r="N134" i="18"/>
  <c r="O134" i="18"/>
  <c r="L134" i="18"/>
  <c r="C137" i="22" s="1"/>
  <c r="M134" i="18"/>
  <c r="N250" i="18"/>
  <c r="M250" i="18"/>
  <c r="L250" i="18"/>
  <c r="C253" i="22" s="1"/>
  <c r="O250" i="18"/>
  <c r="L262" i="18"/>
  <c r="C265" i="22" s="1"/>
  <c r="N262" i="18"/>
  <c r="M262" i="18"/>
  <c r="O262" i="18"/>
  <c r="N116" i="18"/>
  <c r="L116" i="18"/>
  <c r="C119" i="22" s="1"/>
  <c r="M116" i="18"/>
  <c r="O116" i="18"/>
  <c r="N86" i="18"/>
  <c r="M86" i="18"/>
  <c r="O86" i="18"/>
  <c r="L86" i="18"/>
  <c r="C89" i="22" s="1"/>
  <c r="L251" i="18"/>
  <c r="C254" i="22" s="1"/>
  <c r="O251" i="18"/>
  <c r="M251" i="18"/>
  <c r="N251" i="18"/>
  <c r="N196" i="18"/>
  <c r="O196" i="18"/>
  <c r="M196" i="18"/>
  <c r="L196" i="18"/>
  <c r="C199" i="22" s="1"/>
  <c r="L248" i="18"/>
  <c r="C251" i="22" s="1"/>
  <c r="O248" i="18"/>
  <c r="N248" i="18"/>
  <c r="M248" i="18"/>
  <c r="N122" i="18"/>
  <c r="O122" i="18"/>
  <c r="M122" i="18"/>
  <c r="L122" i="18"/>
  <c r="C125" i="22" s="1"/>
  <c r="L132" i="18"/>
  <c r="C135" i="22" s="1"/>
  <c r="O132" i="18"/>
  <c r="N132" i="18"/>
  <c r="M132" i="18"/>
  <c r="O285" i="18"/>
  <c r="M285" i="18"/>
  <c r="L285" i="18"/>
  <c r="C288" i="22" s="1"/>
  <c r="N285" i="18"/>
  <c r="N26" i="18"/>
  <c r="M26" i="18"/>
  <c r="L26" i="18"/>
  <c r="C29" i="22" s="1"/>
  <c r="O26" i="18"/>
  <c r="O113" i="18"/>
  <c r="L113" i="18"/>
  <c r="C116" i="22" s="1"/>
  <c r="N113" i="18"/>
  <c r="M113" i="18"/>
  <c r="L172" i="18"/>
  <c r="C175" i="22" s="1"/>
  <c r="M172" i="18"/>
  <c r="N172" i="18"/>
  <c r="O172" i="18"/>
  <c r="M275" i="18"/>
  <c r="L275" i="18"/>
  <c r="C278" i="22" s="1"/>
  <c r="N275" i="18"/>
  <c r="O275" i="18"/>
  <c r="O306" i="18"/>
  <c r="L306" i="18"/>
  <c r="C309" i="22" s="1"/>
  <c r="M306" i="18"/>
  <c r="N306" i="18"/>
  <c r="P59" i="18"/>
  <c r="M106" i="18"/>
  <c r="O106" i="18"/>
  <c r="N106" i="18"/>
  <c r="L106" i="18"/>
  <c r="C109" i="22" s="1"/>
  <c r="G318" i="18"/>
  <c r="N42" i="18"/>
  <c r="L42" i="18"/>
  <c r="C45" i="22" s="1"/>
  <c r="O42" i="18"/>
  <c r="M42" i="18"/>
  <c r="O84" i="18"/>
  <c r="M84" i="18"/>
  <c r="N84" i="18"/>
  <c r="L84" i="18"/>
  <c r="C87" i="22" s="1"/>
  <c r="O282" i="18"/>
  <c r="N282" i="18"/>
  <c r="L282" i="18"/>
  <c r="C285" i="22" s="1"/>
  <c r="M282" i="18"/>
  <c r="M290" i="18"/>
  <c r="N290" i="18"/>
  <c r="L290" i="18"/>
  <c r="C293" i="22" s="1"/>
  <c r="O290" i="18"/>
  <c r="O20" i="18"/>
  <c r="L20" i="18"/>
  <c r="C23" i="22" s="1"/>
  <c r="N20" i="18"/>
  <c r="M20" i="18"/>
  <c r="M183" i="18"/>
  <c r="O183" i="18"/>
  <c r="L183" i="18"/>
  <c r="C186" i="22" s="1"/>
  <c r="N183" i="18"/>
  <c r="M227" i="18"/>
  <c r="O227" i="18"/>
  <c r="N227" i="18"/>
  <c r="L227" i="18"/>
  <c r="C230" i="22" s="1"/>
  <c r="Z307" i="22" l="1"/>
  <c r="F305" i="9" s="1"/>
  <c r="G305" i="9" s="1"/>
  <c r="W305" i="10" s="1"/>
  <c r="U305" i="10"/>
  <c r="G305" i="10" s="1"/>
  <c r="Z13" i="22"/>
  <c r="F15" i="9" s="1"/>
  <c r="AC13" i="22" s="1"/>
  <c r="AD13" i="22" s="1"/>
  <c r="F263" i="22"/>
  <c r="T265" i="10" s="1"/>
  <c r="F265" i="10" s="1"/>
  <c r="E263" i="22"/>
  <c r="S265" i="10" s="1"/>
  <c r="E265" i="10" s="1"/>
  <c r="D263" i="22"/>
  <c r="R265" i="10" s="1"/>
  <c r="D265" i="10" s="1"/>
  <c r="F16" i="22"/>
  <c r="T18" i="10" s="1"/>
  <c r="F18" i="10" s="1"/>
  <c r="E16" i="22"/>
  <c r="S18" i="10" s="1"/>
  <c r="E18" i="10" s="1"/>
  <c r="D16" i="22"/>
  <c r="R18" i="10" s="1"/>
  <c r="D18" i="10" s="1"/>
  <c r="F137" i="22"/>
  <c r="T139" i="10" s="1"/>
  <c r="F139" i="10" s="1"/>
  <c r="E137" i="22"/>
  <c r="S139" i="10" s="1"/>
  <c r="E139" i="10" s="1"/>
  <c r="D137" i="22"/>
  <c r="F251" i="22"/>
  <c r="T253" i="10" s="1"/>
  <c r="F253" i="10" s="1"/>
  <c r="E251" i="22"/>
  <c r="S253" i="10" s="1"/>
  <c r="E253" i="10" s="1"/>
  <c r="D251" i="22"/>
  <c r="R253" i="10" s="1"/>
  <c r="D253" i="10" s="1"/>
  <c r="F129" i="22"/>
  <c r="T131" i="10" s="1"/>
  <c r="F131" i="10" s="1"/>
  <c r="E129" i="22"/>
  <c r="S131" i="10" s="1"/>
  <c r="E131" i="10" s="1"/>
  <c r="D129" i="22"/>
  <c r="F230" i="22"/>
  <c r="T232" i="10" s="1"/>
  <c r="F232" i="10" s="1"/>
  <c r="E230" i="22"/>
  <c r="S232" i="10" s="1"/>
  <c r="E232" i="10" s="1"/>
  <c r="D230" i="22"/>
  <c r="R232" i="10" s="1"/>
  <c r="D232" i="10" s="1"/>
  <c r="D309" i="22"/>
  <c r="R311" i="10" s="1"/>
  <c r="D311" i="10" s="1"/>
  <c r="F309" i="22"/>
  <c r="T311" i="10" s="1"/>
  <c r="F311" i="10" s="1"/>
  <c r="E309" i="22"/>
  <c r="S311" i="10" s="1"/>
  <c r="E311" i="10" s="1"/>
  <c r="F254" i="22"/>
  <c r="T256" i="10" s="1"/>
  <c r="F256" i="10" s="1"/>
  <c r="E254" i="22"/>
  <c r="S256" i="10" s="1"/>
  <c r="E256" i="10" s="1"/>
  <c r="D254" i="22"/>
  <c r="R256" i="10" s="1"/>
  <c r="D256" i="10" s="1"/>
  <c r="F119" i="22"/>
  <c r="T121" i="10" s="1"/>
  <c r="F121" i="10" s="1"/>
  <c r="E119" i="22"/>
  <c r="S121" i="10" s="1"/>
  <c r="E121" i="10" s="1"/>
  <c r="D119" i="22"/>
  <c r="R121" i="10" s="1"/>
  <c r="D121" i="10" s="1"/>
  <c r="F257" i="22"/>
  <c r="T259" i="10" s="1"/>
  <c r="F259" i="10" s="1"/>
  <c r="E257" i="22"/>
  <c r="S259" i="10" s="1"/>
  <c r="E259" i="10" s="1"/>
  <c r="D257" i="22"/>
  <c r="R259" i="10" s="1"/>
  <c r="D259" i="10" s="1"/>
  <c r="F117" i="22"/>
  <c r="T119" i="10" s="1"/>
  <c r="F119" i="10" s="1"/>
  <c r="E117" i="22"/>
  <c r="D117" i="22"/>
  <c r="R119" i="10" s="1"/>
  <c r="D119" i="10" s="1"/>
  <c r="D229" i="22"/>
  <c r="R231" i="10" s="1"/>
  <c r="D231" i="10" s="1"/>
  <c r="F229" i="22"/>
  <c r="T231" i="10" s="1"/>
  <c r="F231" i="10" s="1"/>
  <c r="E229" i="22"/>
  <c r="S231" i="10" s="1"/>
  <c r="E231" i="10" s="1"/>
  <c r="E110" i="22"/>
  <c r="S112" i="10" s="1"/>
  <c r="E112" i="10" s="1"/>
  <c r="D110" i="22"/>
  <c r="R112" i="10" s="1"/>
  <c r="D112" i="10" s="1"/>
  <c r="F110" i="22"/>
  <c r="T112" i="10" s="1"/>
  <c r="F112" i="10" s="1"/>
  <c r="F21" i="22"/>
  <c r="T23" i="10" s="1"/>
  <c r="F23" i="10" s="1"/>
  <c r="E21" i="22"/>
  <c r="D21" i="22"/>
  <c r="R23" i="10" s="1"/>
  <c r="D23" i="10" s="1"/>
  <c r="Q7" i="18"/>
  <c r="G10" i="22"/>
  <c r="U12" i="10" s="1"/>
  <c r="F88" i="22"/>
  <c r="T90" i="10" s="1"/>
  <c r="F90" i="10" s="1"/>
  <c r="E88" i="22"/>
  <c r="S90" i="10" s="1"/>
  <c r="E90" i="10" s="1"/>
  <c r="D88" i="22"/>
  <c r="R90" i="10" s="1"/>
  <c r="D90" i="10" s="1"/>
  <c r="F149" i="22"/>
  <c r="T151" i="10" s="1"/>
  <c r="F151" i="10" s="1"/>
  <c r="E149" i="22"/>
  <c r="D149" i="22"/>
  <c r="R151" i="10" s="1"/>
  <c r="D151" i="10" s="1"/>
  <c r="F148" i="22"/>
  <c r="T150" i="10" s="1"/>
  <c r="F150" i="10" s="1"/>
  <c r="E148" i="22"/>
  <c r="S150" i="10" s="1"/>
  <c r="E150" i="10" s="1"/>
  <c r="D148" i="22"/>
  <c r="R150" i="10" s="1"/>
  <c r="D150" i="10" s="1"/>
  <c r="D213" i="22"/>
  <c r="R215" i="10" s="1"/>
  <c r="D215" i="10" s="1"/>
  <c r="F213" i="22"/>
  <c r="T215" i="10" s="1"/>
  <c r="F215" i="10" s="1"/>
  <c r="E213" i="22"/>
  <c r="S215" i="10" s="1"/>
  <c r="E215" i="10" s="1"/>
  <c r="F271" i="22"/>
  <c r="T273" i="10" s="1"/>
  <c r="F273" i="10" s="1"/>
  <c r="E271" i="22"/>
  <c r="S273" i="10" s="1"/>
  <c r="E273" i="10" s="1"/>
  <c r="D271" i="22"/>
  <c r="R273" i="10" s="1"/>
  <c r="D273" i="10" s="1"/>
  <c r="F152" i="22"/>
  <c r="T154" i="10" s="1"/>
  <c r="F154" i="10" s="1"/>
  <c r="E152" i="22"/>
  <c r="S154" i="10" s="1"/>
  <c r="E154" i="10" s="1"/>
  <c r="D152" i="22"/>
  <c r="R154" i="10" s="1"/>
  <c r="D154" i="10" s="1"/>
  <c r="Q202" i="18"/>
  <c r="G209" i="22"/>
  <c r="E304" i="22"/>
  <c r="S307" i="10" s="1"/>
  <c r="E307" i="10" s="1"/>
  <c r="D304" i="22"/>
  <c r="F304" i="22"/>
  <c r="T307" i="10" s="1"/>
  <c r="F307" i="10" s="1"/>
  <c r="D115" i="22"/>
  <c r="R117" i="10" s="1"/>
  <c r="D117" i="10" s="1"/>
  <c r="F115" i="22"/>
  <c r="T117" i="10" s="1"/>
  <c r="F117" i="10" s="1"/>
  <c r="E115" i="22"/>
  <c r="S117" i="10" s="1"/>
  <c r="E117" i="10" s="1"/>
  <c r="Q240" i="18"/>
  <c r="G243" i="22"/>
  <c r="U245" i="10" s="1"/>
  <c r="F128" i="22"/>
  <c r="T130" i="10" s="1"/>
  <c r="F130" i="10" s="1"/>
  <c r="E128" i="22"/>
  <c r="S130" i="10" s="1"/>
  <c r="E130" i="10" s="1"/>
  <c r="D128" i="22"/>
  <c r="F172" i="22"/>
  <c r="T174" i="10" s="1"/>
  <c r="F174" i="10" s="1"/>
  <c r="E172" i="22"/>
  <c r="S174" i="10" s="1"/>
  <c r="E174" i="10" s="1"/>
  <c r="D172" i="22"/>
  <c r="F302" i="22"/>
  <c r="T304" i="10" s="1"/>
  <c r="F304" i="10" s="1"/>
  <c r="E302" i="22"/>
  <c r="S304" i="10" s="1"/>
  <c r="E304" i="10" s="1"/>
  <c r="D302" i="22"/>
  <c r="F238" i="22"/>
  <c r="T240" i="10" s="1"/>
  <c r="F240" i="10" s="1"/>
  <c r="E238" i="22"/>
  <c r="S240" i="10" s="1"/>
  <c r="E240" i="10" s="1"/>
  <c r="D238" i="22"/>
  <c r="F170" i="22"/>
  <c r="T172" i="10" s="1"/>
  <c r="F172" i="10" s="1"/>
  <c r="E170" i="22"/>
  <c r="S172" i="10" s="1"/>
  <c r="E172" i="10" s="1"/>
  <c r="D170" i="22"/>
  <c r="F268" i="22"/>
  <c r="T270" i="10" s="1"/>
  <c r="F270" i="10" s="1"/>
  <c r="E268" i="22"/>
  <c r="S270" i="10" s="1"/>
  <c r="E270" i="10" s="1"/>
  <c r="D268" i="22"/>
  <c r="F69" i="22"/>
  <c r="T71" i="10" s="1"/>
  <c r="F71" i="10" s="1"/>
  <c r="E69" i="22"/>
  <c r="D69" i="22"/>
  <c r="R71" i="10" s="1"/>
  <c r="D71" i="10" s="1"/>
  <c r="E166" i="22"/>
  <c r="S168" i="10" s="1"/>
  <c r="E168" i="10" s="1"/>
  <c r="D166" i="22"/>
  <c r="R168" i="10" s="1"/>
  <c r="D168" i="10" s="1"/>
  <c r="F166" i="22"/>
  <c r="T168" i="10" s="1"/>
  <c r="F168" i="10" s="1"/>
  <c r="F281" i="22"/>
  <c r="T283" i="10" s="1"/>
  <c r="F283" i="10" s="1"/>
  <c r="E281" i="22"/>
  <c r="S283" i="10" s="1"/>
  <c r="E283" i="10" s="1"/>
  <c r="D281" i="22"/>
  <c r="R283" i="10" s="1"/>
  <c r="D283" i="10" s="1"/>
  <c r="F203" i="22"/>
  <c r="T205" i="10" s="1"/>
  <c r="F205" i="10" s="1"/>
  <c r="E203" i="22"/>
  <c r="S205" i="10" s="1"/>
  <c r="E205" i="10" s="1"/>
  <c r="D203" i="22"/>
  <c r="R205" i="10" s="1"/>
  <c r="D205" i="10" s="1"/>
  <c r="F255" i="22"/>
  <c r="T257" i="10" s="1"/>
  <c r="F257" i="10" s="1"/>
  <c r="E255" i="22"/>
  <c r="S257" i="10" s="1"/>
  <c r="E257" i="10" s="1"/>
  <c r="D255" i="22"/>
  <c r="R257" i="10" s="1"/>
  <c r="D257" i="10" s="1"/>
  <c r="F82" i="22"/>
  <c r="T84" i="10" s="1"/>
  <c r="F84" i="10" s="1"/>
  <c r="E82" i="22"/>
  <c r="S84" i="10" s="1"/>
  <c r="E84" i="10" s="1"/>
  <c r="D82" i="22"/>
  <c r="R84" i="10" s="1"/>
  <c r="D84" i="10" s="1"/>
  <c r="F37" i="22"/>
  <c r="T39" i="10" s="1"/>
  <c r="F39" i="10" s="1"/>
  <c r="E37" i="22"/>
  <c r="S39" i="10" s="1"/>
  <c r="E39" i="10" s="1"/>
  <c r="D37" i="22"/>
  <c r="R39" i="10" s="1"/>
  <c r="D39" i="10" s="1"/>
  <c r="F22" i="22"/>
  <c r="T24" i="10" s="1"/>
  <c r="F24" i="10" s="1"/>
  <c r="E22" i="22"/>
  <c r="S24" i="10" s="1"/>
  <c r="E24" i="10" s="1"/>
  <c r="D22" i="22"/>
  <c r="R24" i="10" s="1"/>
  <c r="D24" i="10" s="1"/>
  <c r="F151" i="22"/>
  <c r="T153" i="10" s="1"/>
  <c r="F153" i="10" s="1"/>
  <c r="E151" i="22"/>
  <c r="S153" i="10" s="1"/>
  <c r="E153" i="10" s="1"/>
  <c r="D151" i="22"/>
  <c r="R153" i="10" s="1"/>
  <c r="D153" i="10" s="1"/>
  <c r="F176" i="22"/>
  <c r="T178" i="10" s="1"/>
  <c r="F178" i="10" s="1"/>
  <c r="E176" i="22"/>
  <c r="S178" i="10" s="1"/>
  <c r="E178" i="10" s="1"/>
  <c r="D176" i="22"/>
  <c r="R178" i="10" s="1"/>
  <c r="D178" i="10" s="1"/>
  <c r="F157" i="22"/>
  <c r="T159" i="10" s="1"/>
  <c r="F159" i="10" s="1"/>
  <c r="E157" i="22"/>
  <c r="D157" i="22"/>
  <c r="R159" i="10" s="1"/>
  <c r="D159" i="10" s="1"/>
  <c r="F12" i="22"/>
  <c r="T14" i="10" s="1"/>
  <c r="F14" i="10" s="1"/>
  <c r="E12" i="22"/>
  <c r="D12" i="22"/>
  <c r="R14" i="10" s="1"/>
  <c r="D14" i="10" s="1"/>
  <c r="F90" i="22"/>
  <c r="T92" i="10" s="1"/>
  <c r="F92" i="10" s="1"/>
  <c r="E90" i="22"/>
  <c r="S92" i="10" s="1"/>
  <c r="E92" i="10" s="1"/>
  <c r="D90" i="22"/>
  <c r="R92" i="10" s="1"/>
  <c r="D92" i="10" s="1"/>
  <c r="F273" i="22"/>
  <c r="T275" i="10" s="1"/>
  <c r="F275" i="10" s="1"/>
  <c r="E273" i="22"/>
  <c r="S275" i="10" s="1"/>
  <c r="E275" i="10" s="1"/>
  <c r="D273" i="22"/>
  <c r="R275" i="10" s="1"/>
  <c r="D275" i="10" s="1"/>
  <c r="F270" i="22"/>
  <c r="T272" i="10" s="1"/>
  <c r="F272" i="10" s="1"/>
  <c r="E270" i="22"/>
  <c r="S272" i="10" s="1"/>
  <c r="E272" i="10" s="1"/>
  <c r="D270" i="22"/>
  <c r="R272" i="10" s="1"/>
  <c r="D272" i="10" s="1"/>
  <c r="Q298" i="18"/>
  <c r="G301" i="22"/>
  <c r="Z301" i="22" s="1"/>
  <c r="F303" i="9" s="1"/>
  <c r="F60" i="22"/>
  <c r="T62" i="10" s="1"/>
  <c r="F62" i="10" s="1"/>
  <c r="E60" i="22"/>
  <c r="S62" i="10" s="1"/>
  <c r="E62" i="10" s="1"/>
  <c r="D60" i="22"/>
  <c r="F141" i="22"/>
  <c r="T143" i="10" s="1"/>
  <c r="F143" i="10" s="1"/>
  <c r="E141" i="22"/>
  <c r="D141" i="22"/>
  <c r="R143" i="10" s="1"/>
  <c r="D143" i="10" s="1"/>
  <c r="F79" i="22"/>
  <c r="T81" i="10" s="1"/>
  <c r="F81" i="10" s="1"/>
  <c r="E79" i="22"/>
  <c r="S81" i="10" s="1"/>
  <c r="E81" i="10" s="1"/>
  <c r="D79" i="22"/>
  <c r="R81" i="10" s="1"/>
  <c r="D81" i="10" s="1"/>
  <c r="F177" i="22"/>
  <c r="T179" i="10" s="1"/>
  <c r="F179" i="10" s="1"/>
  <c r="E177" i="22"/>
  <c r="S179" i="10" s="1"/>
  <c r="E179" i="10" s="1"/>
  <c r="D177" i="22"/>
  <c r="F46" i="22"/>
  <c r="T48" i="10" s="1"/>
  <c r="F48" i="10" s="1"/>
  <c r="E46" i="22"/>
  <c r="S48" i="10" s="1"/>
  <c r="E48" i="10" s="1"/>
  <c r="D46" i="22"/>
  <c r="R48" i="10" s="1"/>
  <c r="D48" i="10" s="1"/>
  <c r="E150" i="22"/>
  <c r="S152" i="10" s="1"/>
  <c r="E152" i="10" s="1"/>
  <c r="D150" i="22"/>
  <c r="R152" i="10" s="1"/>
  <c r="D152" i="10" s="1"/>
  <c r="F150" i="22"/>
  <c r="T152" i="10" s="1"/>
  <c r="F152" i="10" s="1"/>
  <c r="F210" i="22"/>
  <c r="T212" i="10" s="1"/>
  <c r="F212" i="10" s="1"/>
  <c r="E210" i="22"/>
  <c r="S212" i="10" s="1"/>
  <c r="E212" i="10" s="1"/>
  <c r="D210" i="22"/>
  <c r="D237" i="22"/>
  <c r="R239" i="10" s="1"/>
  <c r="D239" i="10" s="1"/>
  <c r="F237" i="22"/>
  <c r="T239" i="10" s="1"/>
  <c r="F239" i="10" s="1"/>
  <c r="E237" i="22"/>
  <c r="S239" i="10" s="1"/>
  <c r="E239" i="10" s="1"/>
  <c r="F220" i="22"/>
  <c r="T222" i="10" s="1"/>
  <c r="F222" i="10" s="1"/>
  <c r="E220" i="22"/>
  <c r="S222" i="10" s="1"/>
  <c r="E222" i="10" s="1"/>
  <c r="D220" i="22"/>
  <c r="R222" i="10" s="1"/>
  <c r="D222" i="10" s="1"/>
  <c r="F130" i="22"/>
  <c r="T132" i="10" s="1"/>
  <c r="F132" i="10" s="1"/>
  <c r="E130" i="22"/>
  <c r="S132" i="10" s="1"/>
  <c r="E132" i="10" s="1"/>
  <c r="D130" i="22"/>
  <c r="R132" i="10" s="1"/>
  <c r="D132" i="10" s="1"/>
  <c r="E118" i="22"/>
  <c r="S120" i="10" s="1"/>
  <c r="E120" i="10" s="1"/>
  <c r="D118" i="22"/>
  <c r="R120" i="10" s="1"/>
  <c r="D120" i="10" s="1"/>
  <c r="F118" i="22"/>
  <c r="T120" i="10" s="1"/>
  <c r="F120" i="10" s="1"/>
  <c r="F133" i="22"/>
  <c r="T135" i="10" s="1"/>
  <c r="F135" i="10" s="1"/>
  <c r="E133" i="22"/>
  <c r="D133" i="22"/>
  <c r="R135" i="10" s="1"/>
  <c r="D135" i="10" s="1"/>
  <c r="F258" i="22"/>
  <c r="T260" i="10" s="1"/>
  <c r="F260" i="10" s="1"/>
  <c r="E258" i="22"/>
  <c r="S260" i="10" s="1"/>
  <c r="E260" i="10" s="1"/>
  <c r="D258" i="22"/>
  <c r="F111" i="22"/>
  <c r="T113" i="10" s="1"/>
  <c r="F113" i="10" s="1"/>
  <c r="E111" i="22"/>
  <c r="S113" i="10" s="1"/>
  <c r="E113" i="10" s="1"/>
  <c r="D111" i="22"/>
  <c r="F50" i="22"/>
  <c r="T52" i="10" s="1"/>
  <c r="F52" i="10" s="1"/>
  <c r="E50" i="22"/>
  <c r="S52" i="10" s="1"/>
  <c r="E52" i="10" s="1"/>
  <c r="D50" i="22"/>
  <c r="R52" i="10" s="1"/>
  <c r="D52" i="10" s="1"/>
  <c r="F168" i="22"/>
  <c r="T170" i="10" s="1"/>
  <c r="F170" i="10" s="1"/>
  <c r="E168" i="22"/>
  <c r="S170" i="10" s="1"/>
  <c r="E170" i="10" s="1"/>
  <c r="D168" i="22"/>
  <c r="Q104" i="18"/>
  <c r="G107" i="22"/>
  <c r="AA107" i="22" s="1"/>
  <c r="L109" i="9" s="1"/>
  <c r="M109" i="9" s="1"/>
  <c r="R145" i="10"/>
  <c r="D145" i="10" s="1"/>
  <c r="F29" i="22"/>
  <c r="T31" i="10" s="1"/>
  <c r="F31" i="10" s="1"/>
  <c r="E29" i="22"/>
  <c r="S31" i="10" s="1"/>
  <c r="E31" i="10" s="1"/>
  <c r="D29" i="22"/>
  <c r="R31" i="10" s="1"/>
  <c r="D31" i="10" s="1"/>
  <c r="F93" i="22"/>
  <c r="T95" i="10" s="1"/>
  <c r="F95" i="10" s="1"/>
  <c r="E93" i="22"/>
  <c r="D93" i="22"/>
  <c r="R95" i="10" s="1"/>
  <c r="D95" i="10" s="1"/>
  <c r="F187" i="22"/>
  <c r="T189" i="10" s="1"/>
  <c r="F189" i="10" s="1"/>
  <c r="E187" i="22"/>
  <c r="S189" i="10" s="1"/>
  <c r="E189" i="10" s="1"/>
  <c r="D187" i="22"/>
  <c r="R189" i="10" s="1"/>
  <c r="D189" i="10" s="1"/>
  <c r="D139" i="22"/>
  <c r="R141" i="10" s="1"/>
  <c r="D141" i="10" s="1"/>
  <c r="F139" i="22"/>
  <c r="T141" i="10" s="1"/>
  <c r="F141" i="10" s="1"/>
  <c r="E139" i="22"/>
  <c r="S141" i="10" s="1"/>
  <c r="E141" i="10" s="1"/>
  <c r="F138" i="22"/>
  <c r="T140" i="10" s="1"/>
  <c r="F140" i="10" s="1"/>
  <c r="E138" i="22"/>
  <c r="S140" i="10" s="1"/>
  <c r="E140" i="10" s="1"/>
  <c r="D138" i="22"/>
  <c r="R140" i="10" s="1"/>
  <c r="D140" i="10" s="1"/>
  <c r="F267" i="22"/>
  <c r="T269" i="10" s="1"/>
  <c r="F269" i="10" s="1"/>
  <c r="E267" i="22"/>
  <c r="S269" i="10" s="1"/>
  <c r="E269" i="10" s="1"/>
  <c r="D267" i="22"/>
  <c r="R269" i="10" s="1"/>
  <c r="D269" i="10" s="1"/>
  <c r="F9" i="22"/>
  <c r="T11" i="10" s="1"/>
  <c r="F11" i="10" s="1"/>
  <c r="E9" i="22"/>
  <c r="S11" i="10" s="1"/>
  <c r="E11" i="10" s="1"/>
  <c r="D9" i="22"/>
  <c r="F145" i="22"/>
  <c r="T147" i="10" s="1"/>
  <c r="F147" i="10" s="1"/>
  <c r="E145" i="22"/>
  <c r="S147" i="10" s="1"/>
  <c r="E147" i="10" s="1"/>
  <c r="D145" i="22"/>
  <c r="F19" i="22"/>
  <c r="T21" i="10" s="1"/>
  <c r="F21" i="10" s="1"/>
  <c r="E19" i="22"/>
  <c r="S21" i="10" s="1"/>
  <c r="E21" i="10" s="1"/>
  <c r="D19" i="22"/>
  <c r="R21" i="10" s="1"/>
  <c r="D21" i="10" s="1"/>
  <c r="E64" i="22"/>
  <c r="S66" i="10" s="1"/>
  <c r="E66" i="10" s="1"/>
  <c r="D64" i="22"/>
  <c r="R66" i="10" s="1"/>
  <c r="D66" i="10" s="1"/>
  <c r="F64" i="22"/>
  <c r="T66" i="10" s="1"/>
  <c r="F66" i="10" s="1"/>
  <c r="F201" i="22"/>
  <c r="T203" i="10" s="1"/>
  <c r="F203" i="10" s="1"/>
  <c r="E201" i="22"/>
  <c r="S203" i="10" s="1"/>
  <c r="E203" i="10" s="1"/>
  <c r="D201" i="22"/>
  <c r="F81" i="22"/>
  <c r="T83" i="10" s="1"/>
  <c r="F83" i="10" s="1"/>
  <c r="E81" i="22"/>
  <c r="S83" i="10" s="1"/>
  <c r="E83" i="10" s="1"/>
  <c r="D81" i="22"/>
  <c r="E134" i="22"/>
  <c r="S136" i="10" s="1"/>
  <c r="E136" i="10" s="1"/>
  <c r="D134" i="22"/>
  <c r="R136" i="10" s="1"/>
  <c r="D136" i="10" s="1"/>
  <c r="F134" i="22"/>
  <c r="T136" i="10" s="1"/>
  <c r="F136" i="10" s="1"/>
  <c r="F173" i="22"/>
  <c r="T175" i="10" s="1"/>
  <c r="F175" i="10" s="1"/>
  <c r="E173" i="22"/>
  <c r="D173" i="22"/>
  <c r="R175" i="10" s="1"/>
  <c r="D175" i="10" s="1"/>
  <c r="Q203" i="18"/>
  <c r="G205" i="22"/>
  <c r="F183" i="22"/>
  <c r="T185" i="10" s="1"/>
  <c r="F185" i="10" s="1"/>
  <c r="E183" i="22"/>
  <c r="S185" i="10" s="1"/>
  <c r="E185" i="10" s="1"/>
  <c r="D183" i="22"/>
  <c r="R185" i="10" s="1"/>
  <c r="D185" i="10" s="1"/>
  <c r="D91" i="22"/>
  <c r="R93" i="10" s="1"/>
  <c r="D93" i="10" s="1"/>
  <c r="F91" i="22"/>
  <c r="T93" i="10" s="1"/>
  <c r="F93" i="10" s="1"/>
  <c r="E91" i="22"/>
  <c r="S93" i="10" s="1"/>
  <c r="E93" i="10" s="1"/>
  <c r="F47" i="22"/>
  <c r="E47" i="22"/>
  <c r="S49" i="10" s="1"/>
  <c r="E49" i="10" s="1"/>
  <c r="D47" i="22"/>
  <c r="R49" i="10" s="1"/>
  <c r="D49" i="10" s="1"/>
  <c r="F306" i="22"/>
  <c r="T309" i="10" s="1"/>
  <c r="F309" i="10" s="1"/>
  <c r="E306" i="22"/>
  <c r="S309" i="10" s="1"/>
  <c r="E309" i="10" s="1"/>
  <c r="D306" i="22"/>
  <c r="R309" i="10" s="1"/>
  <c r="D309" i="10" s="1"/>
  <c r="F206" i="22"/>
  <c r="T209" i="10" s="1"/>
  <c r="F209" i="10" s="1"/>
  <c r="E206" i="22"/>
  <c r="S209" i="10" s="1"/>
  <c r="E209" i="10" s="1"/>
  <c r="D206" i="22"/>
  <c r="F193" i="22"/>
  <c r="T195" i="10" s="1"/>
  <c r="F195" i="10" s="1"/>
  <c r="E193" i="22"/>
  <c r="S195" i="10" s="1"/>
  <c r="E195" i="10" s="1"/>
  <c r="D193" i="22"/>
  <c r="F72" i="22"/>
  <c r="T74" i="10" s="1"/>
  <c r="F74" i="10" s="1"/>
  <c r="E72" i="22"/>
  <c r="S74" i="10" s="1"/>
  <c r="E74" i="10" s="1"/>
  <c r="D72" i="22"/>
  <c r="R74" i="10" s="1"/>
  <c r="D74" i="10" s="1"/>
  <c r="E256" i="22"/>
  <c r="S258" i="10" s="1"/>
  <c r="E258" i="10" s="1"/>
  <c r="D256" i="22"/>
  <c r="R258" i="10" s="1"/>
  <c r="D258" i="10" s="1"/>
  <c r="F256" i="22"/>
  <c r="T258" i="10" s="1"/>
  <c r="F258" i="10" s="1"/>
  <c r="D15" i="22"/>
  <c r="R17" i="10" s="1"/>
  <c r="D17" i="10" s="1"/>
  <c r="F15" i="22"/>
  <c r="E15" i="22"/>
  <c r="S17" i="10" s="1"/>
  <c r="E17" i="10" s="1"/>
  <c r="F215" i="22"/>
  <c r="T217" i="10" s="1"/>
  <c r="F217" i="10" s="1"/>
  <c r="E215" i="22"/>
  <c r="S217" i="10" s="1"/>
  <c r="E217" i="10" s="1"/>
  <c r="D215" i="22"/>
  <c r="F136" i="22"/>
  <c r="T138" i="10" s="1"/>
  <c r="F138" i="10" s="1"/>
  <c r="E136" i="22"/>
  <c r="S138" i="10" s="1"/>
  <c r="E138" i="10" s="1"/>
  <c r="D136" i="22"/>
  <c r="R138" i="10" s="1"/>
  <c r="D138" i="10" s="1"/>
  <c r="F226" i="22"/>
  <c r="T228" i="10" s="1"/>
  <c r="F228" i="10" s="1"/>
  <c r="E226" i="22"/>
  <c r="S228" i="10" s="1"/>
  <c r="E228" i="10" s="1"/>
  <c r="D226" i="22"/>
  <c r="R228" i="10" s="1"/>
  <c r="D228" i="10" s="1"/>
  <c r="F223" i="22"/>
  <c r="T225" i="10" s="1"/>
  <c r="F225" i="10" s="1"/>
  <c r="E223" i="22"/>
  <c r="S225" i="10" s="1"/>
  <c r="E225" i="10" s="1"/>
  <c r="D223" i="22"/>
  <c r="R225" i="10" s="1"/>
  <c r="D225" i="10" s="1"/>
  <c r="E232" i="22"/>
  <c r="S234" i="10" s="1"/>
  <c r="E234" i="10" s="1"/>
  <c r="D232" i="22"/>
  <c r="R234" i="10" s="1"/>
  <c r="D234" i="10" s="1"/>
  <c r="F232" i="22"/>
  <c r="T234" i="10" s="1"/>
  <c r="F234" i="10" s="1"/>
  <c r="D175" i="22"/>
  <c r="R177" i="10" s="1"/>
  <c r="D177" i="10" s="1"/>
  <c r="F175" i="22"/>
  <c r="T177" i="10" s="1"/>
  <c r="F177" i="10" s="1"/>
  <c r="E175" i="22"/>
  <c r="S177" i="10" s="1"/>
  <c r="E177" i="10" s="1"/>
  <c r="D253" i="22"/>
  <c r="R255" i="10" s="1"/>
  <c r="D255" i="10" s="1"/>
  <c r="F253" i="22"/>
  <c r="T255" i="10" s="1"/>
  <c r="F255" i="10" s="1"/>
  <c r="E253" i="22"/>
  <c r="S255" i="10" s="1"/>
  <c r="E255" i="10" s="1"/>
  <c r="F310" i="22"/>
  <c r="T312" i="10" s="1"/>
  <c r="F312" i="10" s="1"/>
  <c r="E310" i="22"/>
  <c r="S312" i="10" s="1"/>
  <c r="E312" i="10" s="1"/>
  <c r="D310" i="22"/>
  <c r="R312" i="10" s="1"/>
  <c r="D312" i="10" s="1"/>
  <c r="D197" i="22"/>
  <c r="R199" i="10" s="1"/>
  <c r="D199" i="10" s="1"/>
  <c r="F197" i="22"/>
  <c r="T199" i="10" s="1"/>
  <c r="F199" i="10" s="1"/>
  <c r="E197" i="22"/>
  <c r="S199" i="10" s="1"/>
  <c r="E199" i="10" s="1"/>
  <c r="F169" i="22"/>
  <c r="T171" i="10" s="1"/>
  <c r="F171" i="10" s="1"/>
  <c r="E169" i="22"/>
  <c r="S171" i="10" s="1"/>
  <c r="E171" i="10" s="1"/>
  <c r="D169" i="22"/>
  <c r="F101" i="22"/>
  <c r="T103" i="10" s="1"/>
  <c r="F103" i="10" s="1"/>
  <c r="E101" i="22"/>
  <c r="D101" i="22"/>
  <c r="R103" i="10" s="1"/>
  <c r="D103" i="10" s="1"/>
  <c r="F96" i="22"/>
  <c r="T98" i="10" s="1"/>
  <c r="F98" i="10" s="1"/>
  <c r="E96" i="22"/>
  <c r="S98" i="10" s="1"/>
  <c r="E98" i="10" s="1"/>
  <c r="D96" i="22"/>
  <c r="R98" i="10" s="1"/>
  <c r="D98" i="10" s="1"/>
  <c r="D63" i="22"/>
  <c r="R65" i="10" s="1"/>
  <c r="D65" i="10" s="1"/>
  <c r="F63" i="22"/>
  <c r="T65" i="10" s="1"/>
  <c r="F65" i="10" s="1"/>
  <c r="E63" i="22"/>
  <c r="S65" i="10" s="1"/>
  <c r="E65" i="10" s="1"/>
  <c r="F211" i="22"/>
  <c r="T213" i="10" s="1"/>
  <c r="F213" i="10" s="1"/>
  <c r="E211" i="22"/>
  <c r="S213" i="10" s="1"/>
  <c r="E213" i="10" s="1"/>
  <c r="D211" i="22"/>
  <c r="R213" i="10" s="1"/>
  <c r="D213" i="10" s="1"/>
  <c r="D261" i="22"/>
  <c r="R263" i="10" s="1"/>
  <c r="D263" i="10" s="1"/>
  <c r="F261" i="22"/>
  <c r="T263" i="10" s="1"/>
  <c r="F263" i="10" s="1"/>
  <c r="E261" i="22"/>
  <c r="S263" i="10" s="1"/>
  <c r="E263" i="10" s="1"/>
  <c r="F165" i="22"/>
  <c r="T167" i="10" s="1"/>
  <c r="F167" i="10" s="1"/>
  <c r="E165" i="22"/>
  <c r="D165" i="22"/>
  <c r="R167" i="10" s="1"/>
  <c r="D167" i="10" s="1"/>
  <c r="F235" i="22"/>
  <c r="T237" i="10" s="1"/>
  <c r="F237" i="10" s="1"/>
  <c r="E235" i="22"/>
  <c r="S237" i="10" s="1"/>
  <c r="E237" i="10" s="1"/>
  <c r="D235" i="22"/>
  <c r="R237" i="10" s="1"/>
  <c r="D237" i="10" s="1"/>
  <c r="F231" i="22"/>
  <c r="T233" i="10" s="1"/>
  <c r="F233" i="10" s="1"/>
  <c r="E231" i="22"/>
  <c r="S233" i="10" s="1"/>
  <c r="E233" i="10" s="1"/>
  <c r="D231" i="22"/>
  <c r="R233" i="10" s="1"/>
  <c r="D233" i="10" s="1"/>
  <c r="F105" i="22"/>
  <c r="T107" i="10" s="1"/>
  <c r="F107" i="10" s="1"/>
  <c r="E105" i="22"/>
  <c r="S107" i="10" s="1"/>
  <c r="E107" i="10" s="1"/>
  <c r="D105" i="22"/>
  <c r="F202" i="22"/>
  <c r="T204" i="10" s="1"/>
  <c r="F204" i="10" s="1"/>
  <c r="E202" i="22"/>
  <c r="S204" i="10" s="1"/>
  <c r="E204" i="10" s="1"/>
  <c r="D202" i="22"/>
  <c r="Q219" i="18"/>
  <c r="G222" i="22"/>
  <c r="F58" i="22"/>
  <c r="T60" i="10" s="1"/>
  <c r="F60" i="10" s="1"/>
  <c r="E58" i="22"/>
  <c r="S60" i="10" s="1"/>
  <c r="E60" i="10" s="1"/>
  <c r="D58" i="22"/>
  <c r="E178" i="22"/>
  <c r="S180" i="10" s="1"/>
  <c r="E180" i="10" s="1"/>
  <c r="D178" i="22"/>
  <c r="R180" i="10" s="1"/>
  <c r="D180" i="10" s="1"/>
  <c r="F178" i="22"/>
  <c r="T180" i="10" s="1"/>
  <c r="F180" i="10" s="1"/>
  <c r="F100" i="22"/>
  <c r="T102" i="10" s="1"/>
  <c r="F102" i="10" s="1"/>
  <c r="E100" i="22"/>
  <c r="S102" i="10" s="1"/>
  <c r="E102" i="10" s="1"/>
  <c r="D100" i="22"/>
  <c r="F73" i="22"/>
  <c r="T75" i="10" s="1"/>
  <c r="F75" i="10" s="1"/>
  <c r="E73" i="22"/>
  <c r="S75" i="10" s="1"/>
  <c r="E75" i="10" s="1"/>
  <c r="D73" i="22"/>
  <c r="F297" i="22"/>
  <c r="T299" i="10" s="1"/>
  <c r="F299" i="10" s="1"/>
  <c r="E297" i="22"/>
  <c r="S299" i="10" s="1"/>
  <c r="E299" i="10" s="1"/>
  <c r="D297" i="22"/>
  <c r="R299" i="10" s="1"/>
  <c r="D299" i="10" s="1"/>
  <c r="F112" i="22"/>
  <c r="T114" i="10" s="1"/>
  <c r="F114" i="10" s="1"/>
  <c r="E112" i="22"/>
  <c r="S114" i="10" s="1"/>
  <c r="E114" i="10" s="1"/>
  <c r="D112" i="22"/>
  <c r="F298" i="22"/>
  <c r="T300" i="10" s="1"/>
  <c r="F300" i="10" s="1"/>
  <c r="E298" i="22"/>
  <c r="S300" i="10" s="1"/>
  <c r="E300" i="10" s="1"/>
  <c r="D298" i="22"/>
  <c r="R300" i="10" s="1"/>
  <c r="D300" i="10" s="1"/>
  <c r="F122" i="22"/>
  <c r="T124" i="10" s="1"/>
  <c r="F124" i="10" s="1"/>
  <c r="E122" i="22"/>
  <c r="S124" i="10" s="1"/>
  <c r="E124" i="10" s="1"/>
  <c r="D122" i="22"/>
  <c r="R124" i="10" s="1"/>
  <c r="D124" i="10" s="1"/>
  <c r="F282" i="22"/>
  <c r="T284" i="10" s="1"/>
  <c r="F284" i="10" s="1"/>
  <c r="E282" i="22"/>
  <c r="S284" i="10" s="1"/>
  <c r="E284" i="10" s="1"/>
  <c r="D282" i="22"/>
  <c r="P288" i="18"/>
  <c r="F291" i="22"/>
  <c r="T293" i="10" s="1"/>
  <c r="F293" i="10" s="1"/>
  <c r="E291" i="22"/>
  <c r="S293" i="10" s="1"/>
  <c r="E293" i="10" s="1"/>
  <c r="D291" i="22"/>
  <c r="F156" i="22"/>
  <c r="T158" i="10" s="1"/>
  <c r="F158" i="10" s="1"/>
  <c r="E156" i="22"/>
  <c r="S158" i="10" s="1"/>
  <c r="E158" i="10" s="1"/>
  <c r="D156" i="22"/>
  <c r="R158" i="10" s="1"/>
  <c r="D158" i="10" s="1"/>
  <c r="D31" i="22"/>
  <c r="F31" i="22"/>
  <c r="T33" i="10" s="1"/>
  <c r="F33" i="10" s="1"/>
  <c r="E31" i="22"/>
  <c r="S33" i="10" s="1"/>
  <c r="E33" i="10" s="1"/>
  <c r="F120" i="22"/>
  <c r="T122" i="10" s="1"/>
  <c r="F122" i="10" s="1"/>
  <c r="E120" i="22"/>
  <c r="S122" i="10" s="1"/>
  <c r="E122" i="10" s="1"/>
  <c r="D120" i="22"/>
  <c r="F43" i="22"/>
  <c r="T45" i="10" s="1"/>
  <c r="F45" i="10" s="1"/>
  <c r="E43" i="22"/>
  <c r="S45" i="10" s="1"/>
  <c r="E45" i="10" s="1"/>
  <c r="D43" i="22"/>
  <c r="F27" i="22"/>
  <c r="T29" i="10" s="1"/>
  <c r="F29" i="10" s="1"/>
  <c r="E27" i="22"/>
  <c r="S29" i="10" s="1"/>
  <c r="E29" i="10" s="1"/>
  <c r="D27" i="22"/>
  <c r="R29" i="10" s="1"/>
  <c r="D29" i="10" s="1"/>
  <c r="F241" i="22"/>
  <c r="T243" i="10" s="1"/>
  <c r="F243" i="10" s="1"/>
  <c r="E241" i="22"/>
  <c r="S243" i="10" s="1"/>
  <c r="E243" i="10" s="1"/>
  <c r="D241" i="22"/>
  <c r="R243" i="10" s="1"/>
  <c r="D243" i="10" s="1"/>
  <c r="F92" i="22"/>
  <c r="T94" i="10" s="1"/>
  <c r="F94" i="10" s="1"/>
  <c r="E92" i="22"/>
  <c r="S94" i="10" s="1"/>
  <c r="E94" i="10" s="1"/>
  <c r="D92" i="22"/>
  <c r="R94" i="10" s="1"/>
  <c r="D94" i="10" s="1"/>
  <c r="F30" i="22"/>
  <c r="T32" i="10" s="1"/>
  <c r="F32" i="10" s="1"/>
  <c r="E30" i="22"/>
  <c r="S32" i="10" s="1"/>
  <c r="E32" i="10" s="1"/>
  <c r="D30" i="22"/>
  <c r="F194" i="22"/>
  <c r="T196" i="10" s="1"/>
  <c r="F196" i="10" s="1"/>
  <c r="E194" i="22"/>
  <c r="S196" i="10" s="1"/>
  <c r="E196" i="10" s="1"/>
  <c r="D194" i="22"/>
  <c r="G238" i="10"/>
  <c r="Z236" i="22"/>
  <c r="F238" i="9" s="1"/>
  <c r="AA236" i="22"/>
  <c r="L238" i="9" s="1"/>
  <c r="M238" i="9" s="1"/>
  <c r="S46" i="10"/>
  <c r="E46" i="10" s="1"/>
  <c r="S191" i="10"/>
  <c r="E191" i="10" s="1"/>
  <c r="D245" i="22"/>
  <c r="R247" i="10" s="1"/>
  <c r="D247" i="10" s="1"/>
  <c r="F245" i="22"/>
  <c r="T247" i="10" s="1"/>
  <c r="F247" i="10" s="1"/>
  <c r="E245" i="22"/>
  <c r="S247" i="10" s="1"/>
  <c r="E247" i="10" s="1"/>
  <c r="F199" i="22"/>
  <c r="T201" i="10" s="1"/>
  <c r="F201" i="10" s="1"/>
  <c r="E199" i="22"/>
  <c r="S201" i="10" s="1"/>
  <c r="E201" i="10" s="1"/>
  <c r="D199" i="22"/>
  <c r="R201" i="10" s="1"/>
  <c r="D201" i="10" s="1"/>
  <c r="F265" i="22"/>
  <c r="T267" i="10" s="1"/>
  <c r="F267" i="10" s="1"/>
  <c r="E265" i="22"/>
  <c r="S267" i="10" s="1"/>
  <c r="E267" i="10" s="1"/>
  <c r="D265" i="22"/>
  <c r="R267" i="10" s="1"/>
  <c r="D267" i="10" s="1"/>
  <c r="F214" i="22"/>
  <c r="T216" i="10" s="1"/>
  <c r="F216" i="10" s="1"/>
  <c r="E214" i="22"/>
  <c r="S216" i="10" s="1"/>
  <c r="E216" i="10" s="1"/>
  <c r="D214" i="22"/>
  <c r="R216" i="10" s="1"/>
  <c r="D216" i="10" s="1"/>
  <c r="F121" i="22"/>
  <c r="T123" i="10" s="1"/>
  <c r="F123" i="10" s="1"/>
  <c r="E121" i="22"/>
  <c r="S123" i="10" s="1"/>
  <c r="E123" i="10" s="1"/>
  <c r="D121" i="22"/>
  <c r="F242" i="22"/>
  <c r="T244" i="10" s="1"/>
  <c r="F244" i="10" s="1"/>
  <c r="E242" i="22"/>
  <c r="S244" i="10" s="1"/>
  <c r="E244" i="10" s="1"/>
  <c r="D242" i="22"/>
  <c r="R244" i="10" s="1"/>
  <c r="D244" i="10" s="1"/>
  <c r="F279" i="22"/>
  <c r="T281" i="10" s="1"/>
  <c r="F281" i="10" s="1"/>
  <c r="E279" i="22"/>
  <c r="S281" i="10" s="1"/>
  <c r="E281" i="10" s="1"/>
  <c r="D279" i="22"/>
  <c r="R281" i="10" s="1"/>
  <c r="D281" i="10" s="1"/>
  <c r="F276" i="22"/>
  <c r="T278" i="10" s="1"/>
  <c r="F278" i="10" s="1"/>
  <c r="E276" i="22"/>
  <c r="S278" i="10" s="1"/>
  <c r="E278" i="10" s="1"/>
  <c r="D276" i="22"/>
  <c r="R278" i="10" s="1"/>
  <c r="D278" i="10" s="1"/>
  <c r="F32" i="22"/>
  <c r="T34" i="10" s="1"/>
  <c r="F34" i="10" s="1"/>
  <c r="E32" i="22"/>
  <c r="S34" i="10" s="1"/>
  <c r="E34" i="10" s="1"/>
  <c r="D32" i="22"/>
  <c r="D181" i="22"/>
  <c r="F181" i="22"/>
  <c r="T183" i="10" s="1"/>
  <c r="F183" i="10" s="1"/>
  <c r="E181" i="22"/>
  <c r="F97" i="22"/>
  <c r="T99" i="10" s="1"/>
  <c r="F99" i="10" s="1"/>
  <c r="E97" i="22"/>
  <c r="S99" i="10" s="1"/>
  <c r="E99" i="10" s="1"/>
  <c r="D97" i="22"/>
  <c r="F20" i="22"/>
  <c r="T22" i="10" s="1"/>
  <c r="F22" i="10" s="1"/>
  <c r="E101" i="25" s="1"/>
  <c r="E20" i="22"/>
  <c r="D20" i="22"/>
  <c r="R22" i="10" s="1"/>
  <c r="D22" i="10" s="1"/>
  <c r="E99" i="25" s="1"/>
  <c r="F124" i="22"/>
  <c r="T126" i="10" s="1"/>
  <c r="F126" i="10" s="1"/>
  <c r="E124" i="22"/>
  <c r="S126" i="10" s="1"/>
  <c r="E126" i="10" s="1"/>
  <c r="D124" i="22"/>
  <c r="D75" i="22"/>
  <c r="R77" i="10" s="1"/>
  <c r="D77" i="10" s="1"/>
  <c r="F75" i="22"/>
  <c r="T77" i="10" s="1"/>
  <c r="F77" i="10" s="1"/>
  <c r="E75" i="22"/>
  <c r="S77" i="10" s="1"/>
  <c r="E77" i="10" s="1"/>
  <c r="F300" i="22"/>
  <c r="T302" i="10" s="1"/>
  <c r="F302" i="10" s="1"/>
  <c r="E300" i="22"/>
  <c r="S302" i="10" s="1"/>
  <c r="E302" i="10" s="1"/>
  <c r="D300" i="22"/>
  <c r="F233" i="22"/>
  <c r="T235" i="10" s="1"/>
  <c r="F235" i="10" s="1"/>
  <c r="E233" i="22"/>
  <c r="S235" i="10" s="1"/>
  <c r="E235" i="10" s="1"/>
  <c r="D233" i="22"/>
  <c r="R235" i="10" s="1"/>
  <c r="D235" i="10" s="1"/>
  <c r="D155" i="22"/>
  <c r="F155" i="22"/>
  <c r="T157" i="10" s="1"/>
  <c r="F157" i="10" s="1"/>
  <c r="E155" i="22"/>
  <c r="S157" i="10" s="1"/>
  <c r="E157" i="10" s="1"/>
  <c r="E158" i="22"/>
  <c r="S160" i="10" s="1"/>
  <c r="E160" i="10" s="1"/>
  <c r="D158" i="22"/>
  <c r="R160" i="10" s="1"/>
  <c r="D160" i="10" s="1"/>
  <c r="F158" i="22"/>
  <c r="T160" i="10" s="1"/>
  <c r="F160" i="10" s="1"/>
  <c r="AA301" i="22"/>
  <c r="L303" i="9" s="1"/>
  <c r="M303" i="9" s="1"/>
  <c r="F104" i="22"/>
  <c r="T106" i="10" s="1"/>
  <c r="F106" i="10" s="1"/>
  <c r="E104" i="22"/>
  <c r="S106" i="10" s="1"/>
  <c r="E106" i="10" s="1"/>
  <c r="D104" i="22"/>
  <c r="R106" i="10" s="1"/>
  <c r="D106" i="10" s="1"/>
  <c r="Q312" i="10"/>
  <c r="F186" i="22"/>
  <c r="T188" i="10" s="1"/>
  <c r="F188" i="10" s="1"/>
  <c r="E186" i="22"/>
  <c r="S188" i="10" s="1"/>
  <c r="E188" i="10" s="1"/>
  <c r="D186" i="22"/>
  <c r="R188" i="10" s="1"/>
  <c r="D188" i="10" s="1"/>
  <c r="D293" i="22"/>
  <c r="R295" i="10" s="1"/>
  <c r="D295" i="10" s="1"/>
  <c r="F293" i="22"/>
  <c r="T295" i="10" s="1"/>
  <c r="F295" i="10" s="1"/>
  <c r="E293" i="22"/>
  <c r="S295" i="10" s="1"/>
  <c r="E295" i="10" s="1"/>
  <c r="F125" i="22"/>
  <c r="T127" i="10" s="1"/>
  <c r="F127" i="10" s="1"/>
  <c r="E125" i="22"/>
  <c r="D125" i="22"/>
  <c r="R127" i="10" s="1"/>
  <c r="D127" i="10" s="1"/>
  <c r="E86" i="22"/>
  <c r="S88" i="10" s="1"/>
  <c r="E88" i="10" s="1"/>
  <c r="D86" i="22"/>
  <c r="R88" i="10" s="1"/>
  <c r="D88" i="10" s="1"/>
  <c r="F86" i="22"/>
  <c r="T88" i="10" s="1"/>
  <c r="F88" i="10" s="1"/>
  <c r="F42" i="22"/>
  <c r="T44" i="10" s="1"/>
  <c r="F44" i="10" s="1"/>
  <c r="E42" i="22"/>
  <c r="S44" i="10" s="1"/>
  <c r="E44" i="10" s="1"/>
  <c r="D42" i="22"/>
  <c r="R44" i="10" s="1"/>
  <c r="D44" i="10" s="1"/>
  <c r="F299" i="22"/>
  <c r="T301" i="10" s="1"/>
  <c r="F301" i="10" s="1"/>
  <c r="E299" i="22"/>
  <c r="S301" i="10" s="1"/>
  <c r="E301" i="10" s="1"/>
  <c r="D299" i="22"/>
  <c r="R301" i="10" s="1"/>
  <c r="D301" i="10" s="1"/>
  <c r="E78" i="22"/>
  <c r="S80" i="10" s="1"/>
  <c r="E80" i="10" s="1"/>
  <c r="D78" i="22"/>
  <c r="R80" i="10" s="1"/>
  <c r="D80" i="10" s="1"/>
  <c r="F78" i="22"/>
  <c r="T80" i="10" s="1"/>
  <c r="F80" i="10" s="1"/>
  <c r="E26" i="22"/>
  <c r="S28" i="10" s="1"/>
  <c r="E28" i="10" s="1"/>
  <c r="D26" i="22"/>
  <c r="F26" i="22"/>
  <c r="T28" i="10" s="1"/>
  <c r="F28" i="10" s="1"/>
  <c r="F24" i="22"/>
  <c r="T26" i="10" s="1"/>
  <c r="F26" i="10" s="1"/>
  <c r="E24" i="22"/>
  <c r="S26" i="10" s="1"/>
  <c r="E26" i="10" s="1"/>
  <c r="D24" i="22"/>
  <c r="R26" i="10" s="1"/>
  <c r="D26" i="10" s="1"/>
  <c r="F35" i="22"/>
  <c r="T37" i="10" s="1"/>
  <c r="F37" i="10" s="1"/>
  <c r="E35" i="22"/>
  <c r="S37" i="10" s="1"/>
  <c r="E37" i="10" s="1"/>
  <c r="D35" i="22"/>
  <c r="R37" i="10" s="1"/>
  <c r="D37" i="10" s="1"/>
  <c r="F103" i="22"/>
  <c r="T105" i="10" s="1"/>
  <c r="F105" i="10" s="1"/>
  <c r="E103" i="22"/>
  <c r="S105" i="10" s="1"/>
  <c r="E105" i="10" s="1"/>
  <c r="D103" i="22"/>
  <c r="R105" i="10" s="1"/>
  <c r="D105" i="10" s="1"/>
  <c r="D23" i="22"/>
  <c r="R25" i="10" s="1"/>
  <c r="D25" i="10" s="1"/>
  <c r="F23" i="22"/>
  <c r="T25" i="10" s="1"/>
  <c r="F25" i="10" s="1"/>
  <c r="E23" i="22"/>
  <c r="S25" i="10" s="1"/>
  <c r="E25" i="10" s="1"/>
  <c r="D285" i="22"/>
  <c r="R287" i="10" s="1"/>
  <c r="D287" i="10" s="1"/>
  <c r="F285" i="22"/>
  <c r="T287" i="10" s="1"/>
  <c r="F287" i="10" s="1"/>
  <c r="E285" i="22"/>
  <c r="S287" i="10" s="1"/>
  <c r="E287" i="10" s="1"/>
  <c r="D45" i="22"/>
  <c r="R47" i="10" s="1"/>
  <c r="D47" i="10" s="1"/>
  <c r="F45" i="22"/>
  <c r="T47" i="10" s="1"/>
  <c r="F47" i="10" s="1"/>
  <c r="E45" i="22"/>
  <c r="S47" i="10" s="1"/>
  <c r="E47" i="10" s="1"/>
  <c r="F109" i="22"/>
  <c r="T111" i="10" s="1"/>
  <c r="F111" i="10" s="1"/>
  <c r="E109" i="22"/>
  <c r="D109" i="22"/>
  <c r="R111" i="10" s="1"/>
  <c r="D111" i="10" s="1"/>
  <c r="E288" i="22"/>
  <c r="S290" i="10" s="1"/>
  <c r="E290" i="10" s="1"/>
  <c r="D288" i="22"/>
  <c r="R290" i="10" s="1"/>
  <c r="D290" i="10" s="1"/>
  <c r="F288" i="22"/>
  <c r="T290" i="10" s="1"/>
  <c r="F290" i="10" s="1"/>
  <c r="F89" i="22"/>
  <c r="T91" i="10" s="1"/>
  <c r="F91" i="10" s="1"/>
  <c r="E89" i="22"/>
  <c r="S91" i="10" s="1"/>
  <c r="E91" i="10" s="1"/>
  <c r="D89" i="22"/>
  <c r="E48" i="22"/>
  <c r="S50" i="10" s="1"/>
  <c r="E50" i="10" s="1"/>
  <c r="D48" i="22"/>
  <c r="R50" i="10" s="1"/>
  <c r="D50" i="10" s="1"/>
  <c r="F48" i="22"/>
  <c r="T50" i="10" s="1"/>
  <c r="F50" i="10" s="1"/>
  <c r="F153" i="22"/>
  <c r="T155" i="10" s="1"/>
  <c r="F155" i="10" s="1"/>
  <c r="E153" i="22"/>
  <c r="S155" i="10" s="1"/>
  <c r="E155" i="10" s="1"/>
  <c r="D153" i="22"/>
  <c r="F196" i="22"/>
  <c r="T198" i="10" s="1"/>
  <c r="F198" i="10" s="1"/>
  <c r="E196" i="22"/>
  <c r="S198" i="10" s="1"/>
  <c r="E198" i="10" s="1"/>
  <c r="D196" i="22"/>
  <c r="R198" i="10" s="1"/>
  <c r="D198" i="10" s="1"/>
  <c r="F212" i="22"/>
  <c r="T214" i="10" s="1"/>
  <c r="F214" i="10" s="1"/>
  <c r="E212" i="22"/>
  <c r="S214" i="10" s="1"/>
  <c r="E214" i="10" s="1"/>
  <c r="D212" i="22"/>
  <c r="R214" i="10" s="1"/>
  <c r="D214" i="10" s="1"/>
  <c r="Q30" i="18"/>
  <c r="G33" i="22"/>
  <c r="U35" i="10" s="1"/>
  <c r="G35" i="10" s="1"/>
  <c r="D171" i="22"/>
  <c r="R173" i="10" s="1"/>
  <c r="D173" i="10" s="1"/>
  <c r="F171" i="22"/>
  <c r="T173" i="10" s="1"/>
  <c r="F173" i="10" s="1"/>
  <c r="E171" i="22"/>
  <c r="S173" i="10" s="1"/>
  <c r="E173" i="10" s="1"/>
  <c r="F52" i="22"/>
  <c r="T54" i="10" s="1"/>
  <c r="F54" i="10" s="1"/>
  <c r="E52" i="22"/>
  <c r="D52" i="22"/>
  <c r="R54" i="10" s="1"/>
  <c r="D54" i="10" s="1"/>
  <c r="E216" i="22"/>
  <c r="S218" i="10" s="1"/>
  <c r="E218" i="10" s="1"/>
  <c r="D216" i="22"/>
  <c r="R218" i="10" s="1"/>
  <c r="D218" i="10" s="1"/>
  <c r="F216" i="22"/>
  <c r="T218" i="10" s="1"/>
  <c r="F218" i="10" s="1"/>
  <c r="D67" i="22"/>
  <c r="R69" i="10" s="1"/>
  <c r="D69" i="10" s="1"/>
  <c r="F67" i="22"/>
  <c r="T69" i="10" s="1"/>
  <c r="F69" i="10" s="1"/>
  <c r="E67" i="22"/>
  <c r="S69" i="10" s="1"/>
  <c r="E69" i="10" s="1"/>
  <c r="F195" i="22"/>
  <c r="T197" i="10" s="1"/>
  <c r="F197" i="10" s="1"/>
  <c r="E195" i="22"/>
  <c r="S197" i="10" s="1"/>
  <c r="E197" i="10" s="1"/>
  <c r="D195" i="22"/>
  <c r="R197" i="10" s="1"/>
  <c r="D197" i="10" s="1"/>
  <c r="F190" i="22"/>
  <c r="T192" i="10" s="1"/>
  <c r="F192" i="10" s="1"/>
  <c r="E190" i="22"/>
  <c r="S192" i="10" s="1"/>
  <c r="E192" i="10" s="1"/>
  <c r="D190" i="22"/>
  <c r="R192" i="10" s="1"/>
  <c r="D192" i="10" s="1"/>
  <c r="F259" i="22"/>
  <c r="T261" i="10" s="1"/>
  <c r="F261" i="10" s="1"/>
  <c r="E259" i="22"/>
  <c r="S261" i="10" s="1"/>
  <c r="E261" i="10" s="1"/>
  <c r="D259" i="22"/>
  <c r="R261" i="10" s="1"/>
  <c r="D261" i="10" s="1"/>
  <c r="F80" i="22"/>
  <c r="T82" i="10" s="1"/>
  <c r="F82" i="10" s="1"/>
  <c r="E80" i="22"/>
  <c r="S82" i="10" s="1"/>
  <c r="E82" i="10" s="1"/>
  <c r="D80" i="22"/>
  <c r="R82" i="10" s="1"/>
  <c r="D82" i="10" s="1"/>
  <c r="E18" i="22"/>
  <c r="S20" i="10" s="1"/>
  <c r="E20" i="10" s="1"/>
  <c r="D18" i="22"/>
  <c r="F18" i="22"/>
  <c r="T20" i="10" s="1"/>
  <c r="F20" i="10" s="1"/>
  <c r="E192" i="22"/>
  <c r="S194" i="10" s="1"/>
  <c r="E194" i="10" s="1"/>
  <c r="D192" i="22"/>
  <c r="R194" i="10" s="1"/>
  <c r="D194" i="10" s="1"/>
  <c r="F192" i="22"/>
  <c r="T194" i="10" s="1"/>
  <c r="F194" i="10" s="1"/>
  <c r="Q164" i="18"/>
  <c r="G167" i="22"/>
  <c r="F40" i="22"/>
  <c r="E40" i="22"/>
  <c r="S42" i="10" s="1"/>
  <c r="E42" i="10" s="1"/>
  <c r="D40" i="22"/>
  <c r="R42" i="10" s="1"/>
  <c r="D42" i="10" s="1"/>
  <c r="F162" i="22"/>
  <c r="T164" i="10" s="1"/>
  <c r="F164" i="10" s="1"/>
  <c r="E162" i="22"/>
  <c r="S164" i="10" s="1"/>
  <c r="E164" i="10" s="1"/>
  <c r="D162" i="22"/>
  <c r="R164" i="10" s="1"/>
  <c r="D164" i="10" s="1"/>
  <c r="F160" i="22"/>
  <c r="T162" i="10" s="1"/>
  <c r="F162" i="10" s="1"/>
  <c r="E160" i="22"/>
  <c r="S162" i="10" s="1"/>
  <c r="E162" i="10" s="1"/>
  <c r="D160" i="22"/>
  <c r="F71" i="22"/>
  <c r="T73" i="10" s="1"/>
  <c r="F73" i="10" s="1"/>
  <c r="E71" i="22"/>
  <c r="S73" i="10" s="1"/>
  <c r="E73" i="10" s="1"/>
  <c r="D71" i="22"/>
  <c r="R73" i="10" s="1"/>
  <c r="D73" i="10" s="1"/>
  <c r="F207" i="22"/>
  <c r="T210" i="10" s="1"/>
  <c r="F210" i="10" s="1"/>
  <c r="E207" i="22"/>
  <c r="S210" i="10" s="1"/>
  <c r="E210" i="10" s="1"/>
  <c r="D207" i="22"/>
  <c r="R210" i="10" s="1"/>
  <c r="D210" i="10" s="1"/>
  <c r="E126" i="22"/>
  <c r="S128" i="10" s="1"/>
  <c r="E128" i="10" s="1"/>
  <c r="D126" i="22"/>
  <c r="R128" i="10" s="1"/>
  <c r="D128" i="10" s="1"/>
  <c r="F126" i="22"/>
  <c r="T128" i="10" s="1"/>
  <c r="F128" i="10" s="1"/>
  <c r="Q218" i="18"/>
  <c r="G221" i="22"/>
  <c r="U223" i="10" s="1"/>
  <c r="F289" i="22"/>
  <c r="T291" i="10" s="1"/>
  <c r="F291" i="10" s="1"/>
  <c r="E289" i="22"/>
  <c r="S291" i="10" s="1"/>
  <c r="E291" i="10" s="1"/>
  <c r="D289" i="22"/>
  <c r="R291" i="10" s="1"/>
  <c r="D291" i="10" s="1"/>
  <c r="E56" i="22"/>
  <c r="S58" i="10" s="1"/>
  <c r="E58" i="10" s="1"/>
  <c r="D56" i="22"/>
  <c r="R58" i="10" s="1"/>
  <c r="D58" i="10" s="1"/>
  <c r="F56" i="22"/>
  <c r="T58" i="10" s="1"/>
  <c r="F58" i="10" s="1"/>
  <c r="D269" i="22"/>
  <c r="R271" i="10" s="1"/>
  <c r="D271" i="10" s="1"/>
  <c r="F269" i="22"/>
  <c r="T271" i="10" s="1"/>
  <c r="F271" i="10" s="1"/>
  <c r="E269" i="22"/>
  <c r="S271" i="10" s="1"/>
  <c r="E271" i="10" s="1"/>
  <c r="F227" i="22"/>
  <c r="T229" i="10" s="1"/>
  <c r="F229" i="10" s="1"/>
  <c r="E227" i="22"/>
  <c r="S229" i="10" s="1"/>
  <c r="E229" i="10" s="1"/>
  <c r="D227" i="22"/>
  <c r="F292" i="22"/>
  <c r="T294" i="10" s="1"/>
  <c r="F294" i="10" s="1"/>
  <c r="E292" i="22"/>
  <c r="S294" i="10" s="1"/>
  <c r="E294" i="10" s="1"/>
  <c r="D292" i="22"/>
  <c r="D147" i="22"/>
  <c r="R149" i="10" s="1"/>
  <c r="D149" i="10" s="1"/>
  <c r="F147" i="22"/>
  <c r="T149" i="10" s="1"/>
  <c r="F149" i="10" s="1"/>
  <c r="E147" i="22"/>
  <c r="S149" i="10" s="1"/>
  <c r="E149" i="10" s="1"/>
  <c r="F308" i="22"/>
  <c r="T310" i="10" s="1"/>
  <c r="F310" i="10" s="1"/>
  <c r="E308" i="22"/>
  <c r="S310" i="10" s="1"/>
  <c r="E310" i="10" s="1"/>
  <c r="D308" i="22"/>
  <c r="R310" i="10" s="1"/>
  <c r="D310" i="10" s="1"/>
  <c r="F65" i="22"/>
  <c r="T67" i="10" s="1"/>
  <c r="F67" i="10" s="1"/>
  <c r="E65" i="22"/>
  <c r="S67" i="10" s="1"/>
  <c r="E67" i="10" s="1"/>
  <c r="D65" i="22"/>
  <c r="S87" i="10"/>
  <c r="E87" i="10" s="1"/>
  <c r="AA209" i="22"/>
  <c r="L207" i="9" s="1"/>
  <c r="M207" i="9" s="1"/>
  <c r="R207" i="10"/>
  <c r="D207" i="10" s="1"/>
  <c r="R19" i="10"/>
  <c r="D19" i="10" s="1"/>
  <c r="R12" i="10"/>
  <c r="D12" i="10" s="1"/>
  <c r="D163" i="22"/>
  <c r="R165" i="10" s="1"/>
  <c r="D165" i="10" s="1"/>
  <c r="F163" i="22"/>
  <c r="T165" i="10" s="1"/>
  <c r="F165" i="10" s="1"/>
  <c r="E163" i="22"/>
  <c r="S165" i="10" s="1"/>
  <c r="E165" i="10" s="1"/>
  <c r="F244" i="22"/>
  <c r="T246" i="10" s="1"/>
  <c r="F246" i="10" s="1"/>
  <c r="E244" i="22"/>
  <c r="S246" i="10" s="1"/>
  <c r="E246" i="10" s="1"/>
  <c r="D244" i="22"/>
  <c r="R246" i="10" s="1"/>
  <c r="D246" i="10" s="1"/>
  <c r="F108" i="22"/>
  <c r="T110" i="10" s="1"/>
  <c r="F110" i="10" s="1"/>
  <c r="E108" i="22"/>
  <c r="S110" i="10" s="1"/>
  <c r="E110" i="10" s="1"/>
  <c r="D108" i="22"/>
  <c r="R110" i="10" s="1"/>
  <c r="D110" i="10" s="1"/>
  <c r="D83" i="22"/>
  <c r="R85" i="10" s="1"/>
  <c r="D85" i="10" s="1"/>
  <c r="F83" i="22"/>
  <c r="T85" i="10" s="1"/>
  <c r="F85" i="10" s="1"/>
  <c r="E83" i="22"/>
  <c r="S85" i="10" s="1"/>
  <c r="E85" i="10" s="1"/>
  <c r="Q59" i="18"/>
  <c r="G62" i="22"/>
  <c r="U64" i="10" s="1"/>
  <c r="G64" i="10" s="1"/>
  <c r="F278" i="22"/>
  <c r="T280" i="10" s="1"/>
  <c r="F280" i="10" s="1"/>
  <c r="E278" i="22"/>
  <c r="S280" i="10" s="1"/>
  <c r="E280" i="10" s="1"/>
  <c r="D278" i="22"/>
  <c r="R280" i="10" s="1"/>
  <c r="D280" i="10" s="1"/>
  <c r="E55" i="22"/>
  <c r="S57" i="10" s="1"/>
  <c r="E57" i="10" s="1"/>
  <c r="D55" i="22"/>
  <c r="R57" i="10" s="1"/>
  <c r="D57" i="10" s="1"/>
  <c r="F55" i="22"/>
  <c r="T57" i="10" s="1"/>
  <c r="F57" i="10" s="1"/>
  <c r="F286" i="22"/>
  <c r="T288" i="10" s="1"/>
  <c r="F288" i="10" s="1"/>
  <c r="E286" i="22"/>
  <c r="S288" i="10" s="1"/>
  <c r="E288" i="10" s="1"/>
  <c r="D286" i="22"/>
  <c r="R288" i="10" s="1"/>
  <c r="D288" i="10" s="1"/>
  <c r="E142" i="22"/>
  <c r="S144" i="10" s="1"/>
  <c r="E144" i="10" s="1"/>
  <c r="D142" i="22"/>
  <c r="R144" i="10" s="1"/>
  <c r="D144" i="10" s="1"/>
  <c r="F142" i="22"/>
  <c r="T144" i="10" s="1"/>
  <c r="F144" i="10" s="1"/>
  <c r="E296" i="22"/>
  <c r="S298" i="10" s="1"/>
  <c r="E298" i="10" s="1"/>
  <c r="D296" i="22"/>
  <c r="R298" i="10" s="1"/>
  <c r="D298" i="10" s="1"/>
  <c r="F296" i="22"/>
  <c r="T298" i="10" s="1"/>
  <c r="F298" i="10" s="1"/>
  <c r="F146" i="22"/>
  <c r="T148" i="10" s="1"/>
  <c r="F148" i="10" s="1"/>
  <c r="E146" i="22"/>
  <c r="S148" i="10" s="1"/>
  <c r="E148" i="10" s="1"/>
  <c r="D146" i="22"/>
  <c r="R148" i="10" s="1"/>
  <c r="D148" i="10" s="1"/>
  <c r="F41" i="22"/>
  <c r="T43" i="10" s="1"/>
  <c r="F43" i="10" s="1"/>
  <c r="E41" i="22"/>
  <c r="S43" i="10" s="1"/>
  <c r="E43" i="10" s="1"/>
  <c r="D41" i="22"/>
  <c r="R43" i="10" s="1"/>
  <c r="D43" i="10" s="1"/>
  <c r="F28" i="22"/>
  <c r="T30" i="10" s="1"/>
  <c r="F30" i="10" s="1"/>
  <c r="E28" i="22"/>
  <c r="S30" i="10" s="1"/>
  <c r="E30" i="10" s="1"/>
  <c r="D28" i="22"/>
  <c r="R30" i="10" s="1"/>
  <c r="D30" i="10" s="1"/>
  <c r="F77" i="22"/>
  <c r="T79" i="10" s="1"/>
  <c r="F79" i="10" s="1"/>
  <c r="E77" i="22"/>
  <c r="D77" i="22"/>
  <c r="R79" i="10" s="1"/>
  <c r="D79" i="10" s="1"/>
  <c r="F38" i="22"/>
  <c r="T40" i="10" s="1"/>
  <c r="F40" i="10" s="1"/>
  <c r="E38" i="22"/>
  <c r="S40" i="10" s="1"/>
  <c r="E40" i="10" s="1"/>
  <c r="D38" i="22"/>
  <c r="R40" i="10" s="1"/>
  <c r="D40" i="10" s="1"/>
  <c r="E180" i="22"/>
  <c r="S182" i="10" s="1"/>
  <c r="E182" i="10" s="1"/>
  <c r="F180" i="22"/>
  <c r="T182" i="10" s="1"/>
  <c r="F182" i="10" s="1"/>
  <c r="D180" i="22"/>
  <c r="R182" i="10" s="1"/>
  <c r="D182" i="10" s="1"/>
  <c r="D53" i="22"/>
  <c r="R55" i="10" s="1"/>
  <c r="D55" i="10" s="1"/>
  <c r="E53" i="22"/>
  <c r="F53" i="22"/>
  <c r="T55" i="10" s="1"/>
  <c r="F55" i="10" s="1"/>
  <c r="Q186" i="18"/>
  <c r="G189" i="22"/>
  <c r="AA189" i="22" s="1"/>
  <c r="L191" i="9" s="1"/>
  <c r="M191" i="9" s="1"/>
  <c r="F275" i="22"/>
  <c r="T277" i="10" s="1"/>
  <c r="F277" i="10" s="1"/>
  <c r="E275" i="22"/>
  <c r="S277" i="10" s="1"/>
  <c r="E277" i="10" s="1"/>
  <c r="D275" i="22"/>
  <c r="R277" i="10" s="1"/>
  <c r="D277" i="10" s="1"/>
  <c r="F36" i="22"/>
  <c r="T38" i="10" s="1"/>
  <c r="F38" i="10" s="1"/>
  <c r="E36" i="22"/>
  <c r="S38" i="10" s="1"/>
  <c r="E38" i="10" s="1"/>
  <c r="D36" i="22"/>
  <c r="R38" i="10" s="1"/>
  <c r="D38" i="10" s="1"/>
  <c r="E240" i="22"/>
  <c r="S242" i="10" s="1"/>
  <c r="E242" i="10" s="1"/>
  <c r="D240" i="22"/>
  <c r="R242" i="10" s="1"/>
  <c r="D242" i="10" s="1"/>
  <c r="F240" i="22"/>
  <c r="T242" i="10" s="1"/>
  <c r="F242" i="10" s="1"/>
  <c r="F51" i="22"/>
  <c r="T53" i="10" s="1"/>
  <c r="F53" i="10" s="1"/>
  <c r="E51" i="22"/>
  <c r="S53" i="10" s="1"/>
  <c r="E53" i="10" s="1"/>
  <c r="D51" i="22"/>
  <c r="R53" i="10" s="1"/>
  <c r="D53" i="10" s="1"/>
  <c r="Q65" i="18"/>
  <c r="G68" i="22"/>
  <c r="Q274" i="18"/>
  <c r="G277" i="22"/>
  <c r="U279" i="10" s="1"/>
  <c r="G279" i="10" s="1"/>
  <c r="Q56" i="18"/>
  <c r="G59" i="22"/>
  <c r="E57" i="22"/>
  <c r="S59" i="10" s="1"/>
  <c r="E59" i="10" s="1"/>
  <c r="D57" i="22"/>
  <c r="F57" i="22"/>
  <c r="T59" i="10" s="1"/>
  <c r="F59" i="10" s="1"/>
  <c r="F234" i="22"/>
  <c r="T236" i="10" s="1"/>
  <c r="F236" i="10" s="1"/>
  <c r="E234" i="22"/>
  <c r="S236" i="10" s="1"/>
  <c r="E236" i="10" s="1"/>
  <c r="D234" i="22"/>
  <c r="R236" i="10" s="1"/>
  <c r="D236" i="10" s="1"/>
  <c r="F49" i="22"/>
  <c r="T51" i="10" s="1"/>
  <c r="F51" i="10" s="1"/>
  <c r="E49" i="22"/>
  <c r="S51" i="10" s="1"/>
  <c r="E51" i="10" s="1"/>
  <c r="D49" i="22"/>
  <c r="F61" i="22"/>
  <c r="T63" i="10" s="1"/>
  <c r="F63" i="10" s="1"/>
  <c r="D61" i="22"/>
  <c r="E61" i="22"/>
  <c r="E102" i="22"/>
  <c r="S104" i="10" s="1"/>
  <c r="E104" i="10" s="1"/>
  <c r="D102" i="22"/>
  <c r="F102" i="22"/>
  <c r="T104" i="10" s="1"/>
  <c r="F104" i="10" s="1"/>
  <c r="F217" i="22"/>
  <c r="T219" i="10" s="1"/>
  <c r="F219" i="10" s="1"/>
  <c r="E217" i="22"/>
  <c r="S219" i="10" s="1"/>
  <c r="E219" i="10" s="1"/>
  <c r="D217" i="22"/>
  <c r="R219" i="10" s="1"/>
  <c r="D219" i="10" s="1"/>
  <c r="F164" i="22"/>
  <c r="T166" i="10" s="1"/>
  <c r="F166" i="10" s="1"/>
  <c r="E164" i="22"/>
  <c r="S166" i="10" s="1"/>
  <c r="E166" i="10" s="1"/>
  <c r="D164" i="22"/>
  <c r="F84" i="22"/>
  <c r="T86" i="10" s="1"/>
  <c r="F86" i="10" s="1"/>
  <c r="E84" i="22"/>
  <c r="S86" i="10" s="1"/>
  <c r="E86" i="10" s="1"/>
  <c r="D84" i="22"/>
  <c r="F287" i="22"/>
  <c r="T289" i="10" s="1"/>
  <c r="F289" i="10" s="1"/>
  <c r="E287" i="22"/>
  <c r="S289" i="10" s="1"/>
  <c r="E289" i="10" s="1"/>
  <c r="D287" i="22"/>
  <c r="R289" i="10" s="1"/>
  <c r="D289" i="10" s="1"/>
  <c r="F198" i="22"/>
  <c r="T200" i="10" s="1"/>
  <c r="F200" i="10" s="1"/>
  <c r="E198" i="22"/>
  <c r="S200" i="10" s="1"/>
  <c r="E200" i="10" s="1"/>
  <c r="D198" i="22"/>
  <c r="R200" i="10" s="1"/>
  <c r="D200" i="10" s="1"/>
  <c r="R35" i="10"/>
  <c r="D35" i="10" s="1"/>
  <c r="AA13" i="22"/>
  <c r="L15" i="9" s="1"/>
  <c r="M15" i="9" s="1"/>
  <c r="F76" i="22"/>
  <c r="T78" i="10" s="1"/>
  <c r="F78" i="10" s="1"/>
  <c r="E76" i="22"/>
  <c r="S78" i="10" s="1"/>
  <c r="E78" i="10" s="1"/>
  <c r="D76" i="22"/>
  <c r="R78" i="10" s="1"/>
  <c r="D78" i="10" s="1"/>
  <c r="F260" i="22"/>
  <c r="T262" i="10" s="1"/>
  <c r="F262" i="10" s="1"/>
  <c r="E260" i="22"/>
  <c r="S262" i="10" s="1"/>
  <c r="E262" i="10" s="1"/>
  <c r="D260" i="22"/>
  <c r="R262" i="10" s="1"/>
  <c r="D262" i="10" s="1"/>
  <c r="F87" i="22"/>
  <c r="T89" i="10" s="1"/>
  <c r="F89" i="10" s="1"/>
  <c r="E87" i="22"/>
  <c r="S89" i="10" s="1"/>
  <c r="E89" i="10" s="1"/>
  <c r="D87" i="22"/>
  <c r="R89" i="10" s="1"/>
  <c r="D89" i="10" s="1"/>
  <c r="F116" i="22"/>
  <c r="T118" i="10" s="1"/>
  <c r="F118" i="10" s="1"/>
  <c r="E116" i="22"/>
  <c r="S118" i="10" s="1"/>
  <c r="E118" i="10" s="1"/>
  <c r="D116" i="22"/>
  <c r="R118" i="10" s="1"/>
  <c r="D118" i="10" s="1"/>
  <c r="F135" i="22"/>
  <c r="T137" i="10" s="1"/>
  <c r="F137" i="10" s="1"/>
  <c r="E135" i="22"/>
  <c r="S137" i="10" s="1"/>
  <c r="E137" i="10" s="1"/>
  <c r="D135" i="22"/>
  <c r="R137" i="10" s="1"/>
  <c r="D137" i="10" s="1"/>
  <c r="D131" i="22"/>
  <c r="R133" i="10" s="1"/>
  <c r="D133" i="10" s="1"/>
  <c r="F131" i="22"/>
  <c r="T133" i="10" s="1"/>
  <c r="F133" i="10" s="1"/>
  <c r="E131" i="22"/>
  <c r="S133" i="10" s="1"/>
  <c r="E133" i="10" s="1"/>
  <c r="E272" i="22"/>
  <c r="S274" i="10" s="1"/>
  <c r="E274" i="10" s="1"/>
  <c r="D272" i="22"/>
  <c r="R274" i="10" s="1"/>
  <c r="D274" i="10" s="1"/>
  <c r="F272" i="22"/>
  <c r="T274" i="10" s="1"/>
  <c r="F274" i="10" s="1"/>
  <c r="F262" i="22"/>
  <c r="T264" i="10" s="1"/>
  <c r="F264" i="10" s="1"/>
  <c r="E262" i="22"/>
  <c r="S264" i="10" s="1"/>
  <c r="E264" i="10" s="1"/>
  <c r="D262" i="22"/>
  <c r="R264" i="10" s="1"/>
  <c r="D264" i="10" s="1"/>
  <c r="F249" i="22"/>
  <c r="T251" i="10" s="1"/>
  <c r="F251" i="10" s="1"/>
  <c r="E249" i="22"/>
  <c r="S251" i="10" s="1"/>
  <c r="E251" i="10" s="1"/>
  <c r="D249" i="22"/>
  <c r="R251" i="10" s="1"/>
  <c r="D251" i="10" s="1"/>
  <c r="F25" i="22"/>
  <c r="T27" i="10" s="1"/>
  <c r="F27" i="10" s="1"/>
  <c r="E25" i="22"/>
  <c r="S27" i="10" s="1"/>
  <c r="E27" i="10" s="1"/>
  <c r="D25" i="22"/>
  <c r="R27" i="10" s="1"/>
  <c r="D27" i="10" s="1"/>
  <c r="D99" i="22"/>
  <c r="R101" i="10" s="1"/>
  <c r="D101" i="10" s="1"/>
  <c r="F99" i="22"/>
  <c r="T101" i="10" s="1"/>
  <c r="F101" i="10" s="1"/>
  <c r="E99" i="22"/>
  <c r="S101" i="10" s="1"/>
  <c r="E101" i="10" s="1"/>
  <c r="F127" i="22"/>
  <c r="T129" i="10" s="1"/>
  <c r="F129" i="10" s="1"/>
  <c r="E127" i="22"/>
  <c r="S129" i="10" s="1"/>
  <c r="E129" i="10" s="1"/>
  <c r="D127" i="22"/>
  <c r="R129" i="10" s="1"/>
  <c r="D129" i="10" s="1"/>
  <c r="F114" i="22"/>
  <c r="T116" i="10" s="1"/>
  <c r="F116" i="10" s="1"/>
  <c r="E114" i="22"/>
  <c r="S116" i="10" s="1"/>
  <c r="E116" i="10" s="1"/>
  <c r="D114" i="22"/>
  <c r="R116" i="10" s="1"/>
  <c r="D116" i="10" s="1"/>
  <c r="E182" i="22"/>
  <c r="S184" i="10" s="1"/>
  <c r="E184" i="10" s="1"/>
  <c r="D182" i="22"/>
  <c r="R184" i="10" s="1"/>
  <c r="D184" i="10" s="1"/>
  <c r="F182" i="22"/>
  <c r="T184" i="10" s="1"/>
  <c r="F184" i="10" s="1"/>
  <c r="F266" i="22"/>
  <c r="T268" i="10" s="1"/>
  <c r="F268" i="10" s="1"/>
  <c r="E266" i="22"/>
  <c r="S268" i="10" s="1"/>
  <c r="E268" i="10" s="1"/>
  <c r="D266" i="22"/>
  <c r="R268" i="10" s="1"/>
  <c r="D268" i="10" s="1"/>
  <c r="F246" i="22"/>
  <c r="T248" i="10" s="1"/>
  <c r="F248" i="10" s="1"/>
  <c r="E246" i="22"/>
  <c r="S248" i="10" s="1"/>
  <c r="E248" i="10" s="1"/>
  <c r="D246" i="22"/>
  <c r="R248" i="10" s="1"/>
  <c r="D248" i="10" s="1"/>
  <c r="F303" i="22"/>
  <c r="T306" i="10" s="1"/>
  <c r="F306" i="10" s="1"/>
  <c r="E303" i="22"/>
  <c r="S306" i="10" s="1"/>
  <c r="E306" i="10" s="1"/>
  <c r="D303" i="22"/>
  <c r="R306" i="10" s="1"/>
  <c r="D306" i="10" s="1"/>
  <c r="Q291" i="18"/>
  <c r="G294" i="22"/>
  <c r="Q31" i="18"/>
  <c r="G34" i="22"/>
  <c r="U36" i="10" s="1"/>
  <c r="F252" i="22"/>
  <c r="T254" i="10" s="1"/>
  <c r="F254" i="10" s="1"/>
  <c r="E252" i="22"/>
  <c r="S254" i="10" s="1"/>
  <c r="E254" i="10" s="1"/>
  <c r="D252" i="22"/>
  <c r="R254" i="10" s="1"/>
  <c r="D254" i="10" s="1"/>
  <c r="E94" i="22"/>
  <c r="S96" i="10" s="1"/>
  <c r="E96" i="10" s="1"/>
  <c r="D94" i="22"/>
  <c r="R96" i="10" s="1"/>
  <c r="D96" i="10" s="1"/>
  <c r="F94" i="22"/>
  <c r="T96" i="10" s="1"/>
  <c r="F96" i="10" s="1"/>
  <c r="Q216" i="18"/>
  <c r="G219" i="22"/>
  <c r="Q140" i="18"/>
  <c r="G143" i="22"/>
  <c r="F191" i="22"/>
  <c r="T193" i="10" s="1"/>
  <c r="F193" i="10" s="1"/>
  <c r="E191" i="22"/>
  <c r="S193" i="10" s="1"/>
  <c r="E193" i="10" s="1"/>
  <c r="D191" i="22"/>
  <c r="R193" i="10" s="1"/>
  <c r="D193" i="10" s="1"/>
  <c r="E200" i="22"/>
  <c r="S202" i="10" s="1"/>
  <c r="E202" i="10" s="1"/>
  <c r="D200" i="22"/>
  <c r="R202" i="10" s="1"/>
  <c r="D202" i="10" s="1"/>
  <c r="F200" i="22"/>
  <c r="T202" i="10" s="1"/>
  <c r="F202" i="10" s="1"/>
  <c r="F185" i="22"/>
  <c r="T187" i="10" s="1"/>
  <c r="F187" i="10" s="1"/>
  <c r="E185" i="22"/>
  <c r="S187" i="10" s="1"/>
  <c r="E187" i="10" s="1"/>
  <c r="D185" i="22"/>
  <c r="F106" i="22"/>
  <c r="T108" i="10" s="1"/>
  <c r="F108" i="10" s="1"/>
  <c r="E106" i="22"/>
  <c r="S108" i="10" s="1"/>
  <c r="E108" i="10" s="1"/>
  <c r="D106" i="22"/>
  <c r="R108" i="10" s="1"/>
  <c r="D108" i="10" s="1"/>
  <c r="F239" i="22"/>
  <c r="T241" i="10" s="1"/>
  <c r="F241" i="10" s="1"/>
  <c r="E239" i="22"/>
  <c r="S241" i="10" s="1"/>
  <c r="E241" i="10" s="1"/>
  <c r="D239" i="22"/>
  <c r="D39" i="22"/>
  <c r="R41" i="10" s="1"/>
  <c r="D41" i="10" s="1"/>
  <c r="F39" i="22"/>
  <c r="T41" i="10" s="1"/>
  <c r="F41" i="10" s="1"/>
  <c r="E39" i="22"/>
  <c r="S41" i="10" s="1"/>
  <c r="E41" i="10" s="1"/>
  <c r="F154" i="22"/>
  <c r="T156" i="10" s="1"/>
  <c r="F156" i="10" s="1"/>
  <c r="E154" i="22"/>
  <c r="S156" i="10" s="1"/>
  <c r="E156" i="10" s="1"/>
  <c r="D154" i="22"/>
  <c r="R156" i="10" s="1"/>
  <c r="D156" i="10" s="1"/>
  <c r="Q120" i="18"/>
  <c r="G123" i="22"/>
  <c r="Q95" i="18"/>
  <c r="G98" i="22"/>
  <c r="R163" i="10"/>
  <c r="D163" i="10" s="1"/>
  <c r="R115" i="10"/>
  <c r="D115" i="10" s="1"/>
  <c r="P163" i="18"/>
  <c r="P200" i="18"/>
  <c r="P278" i="18"/>
  <c r="P201" i="18"/>
  <c r="P82" i="18"/>
  <c r="P195" i="18"/>
  <c r="P229" i="18"/>
  <c r="P261" i="18"/>
  <c r="P191" i="18"/>
  <c r="P67" i="18"/>
  <c r="P130" i="18"/>
  <c r="P206" i="18"/>
  <c r="P238" i="18"/>
  <c r="P151" i="18"/>
  <c r="P255" i="18"/>
  <c r="P28" i="18"/>
  <c r="P223" i="18"/>
  <c r="P24" i="18"/>
  <c r="P71" i="18"/>
  <c r="P244" i="18"/>
  <c r="P72" i="18"/>
  <c r="P169" i="18"/>
  <c r="P14" i="18"/>
  <c r="P222" i="18"/>
  <c r="P171" i="18"/>
  <c r="P36" i="18"/>
  <c r="P271" i="18"/>
  <c r="P297" i="18"/>
  <c r="P115" i="18"/>
  <c r="P108" i="18"/>
  <c r="P144" i="18"/>
  <c r="P53" i="18"/>
  <c r="P181" i="18"/>
  <c r="P27" i="18"/>
  <c r="P69" i="18"/>
  <c r="P12" i="18"/>
  <c r="P266" i="18"/>
  <c r="P289" i="18"/>
  <c r="P305" i="18"/>
  <c r="P167" i="18"/>
  <c r="P212" i="18"/>
  <c r="P47" i="18"/>
  <c r="P230" i="18"/>
  <c r="P62" i="18"/>
  <c r="P277" i="18"/>
  <c r="P234" i="18"/>
  <c r="P81" i="18"/>
  <c r="P231" i="18"/>
  <c r="P46" i="18"/>
  <c r="P66" i="18"/>
  <c r="P51" i="18"/>
  <c r="P165" i="18"/>
  <c r="P89" i="18"/>
  <c r="P265" i="18"/>
  <c r="P299" i="18"/>
  <c r="P129" i="18"/>
  <c r="P155" i="18"/>
  <c r="P224" i="18"/>
  <c r="P221" i="18"/>
  <c r="P217" i="18"/>
  <c r="P127" i="18"/>
  <c r="P236" i="18"/>
  <c r="P117" i="18"/>
  <c r="P17" i="18"/>
  <c r="P43" i="18"/>
  <c r="P220" i="18"/>
  <c r="P8" i="18"/>
  <c r="P94" i="18"/>
  <c r="P284" i="18"/>
  <c r="P207" i="18"/>
  <c r="P182" i="18"/>
  <c r="P235" i="18"/>
  <c r="P286" i="18"/>
  <c r="P40" i="18"/>
  <c r="P103" i="18"/>
  <c r="P279" i="18"/>
  <c r="P125" i="18"/>
  <c r="P204" i="18"/>
  <c r="P58" i="18"/>
  <c r="P245" i="18"/>
  <c r="P97" i="18"/>
  <c r="P197" i="18"/>
  <c r="P76" i="18"/>
  <c r="P174" i="18"/>
  <c r="P147" i="18"/>
  <c r="P280" i="18"/>
  <c r="P185" i="18"/>
  <c r="P292" i="18"/>
  <c r="P152" i="18"/>
  <c r="P214" i="18"/>
  <c r="P188" i="18"/>
  <c r="P157" i="18"/>
  <c r="P253" i="18"/>
  <c r="P92" i="18"/>
  <c r="P225" i="18"/>
  <c r="P54" i="18"/>
  <c r="P99" i="18"/>
  <c r="P63" i="18"/>
  <c r="P302" i="18"/>
  <c r="P70" i="18"/>
  <c r="P68" i="18"/>
  <c r="P112" i="18"/>
  <c r="P159" i="18"/>
  <c r="P303" i="18"/>
  <c r="P153" i="18"/>
  <c r="P205" i="18"/>
  <c r="P133" i="18"/>
  <c r="P110" i="18"/>
  <c r="P37" i="18"/>
  <c r="P178" i="18"/>
  <c r="P161" i="18"/>
  <c r="P121" i="18"/>
  <c r="P247" i="18"/>
  <c r="P41" i="18"/>
  <c r="P295" i="18"/>
  <c r="P119" i="18"/>
  <c r="P109" i="18"/>
  <c r="P11" i="18"/>
  <c r="P294" i="18"/>
  <c r="P123" i="18"/>
  <c r="P100" i="18"/>
  <c r="P156" i="18"/>
  <c r="P138" i="18"/>
  <c r="P29" i="18"/>
  <c r="P158" i="18"/>
  <c r="P141" i="18"/>
  <c r="P175" i="18"/>
  <c r="P300" i="18"/>
  <c r="P287" i="18"/>
  <c r="P176" i="18"/>
  <c r="P91" i="18"/>
  <c r="P283" i="18"/>
  <c r="P44" i="18"/>
  <c r="P273" i="18"/>
  <c r="P199" i="18"/>
  <c r="P111" i="18"/>
  <c r="P15" i="18"/>
  <c r="P249" i="18"/>
  <c r="P237" i="18"/>
  <c r="P124" i="18"/>
  <c r="P61" i="18"/>
  <c r="P88" i="18"/>
  <c r="P281" i="18"/>
  <c r="P282" i="18"/>
  <c r="P78" i="18"/>
  <c r="P189" i="18"/>
  <c r="P301" i="18"/>
  <c r="P21" i="18"/>
  <c r="P179" i="18"/>
  <c r="P57" i="18"/>
  <c r="P296" i="18"/>
  <c r="P23" i="18"/>
  <c r="P276" i="18"/>
  <c r="P190" i="18"/>
  <c r="I5" i="18"/>
  <c r="P118" i="18"/>
  <c r="P194" i="18"/>
  <c r="P135" i="18"/>
  <c r="P55" i="18"/>
  <c r="P242" i="18"/>
  <c r="P74" i="18"/>
  <c r="P34" i="18"/>
  <c r="P137" i="18"/>
  <c r="P241" i="18"/>
  <c r="P96" i="18"/>
  <c r="P154" i="18"/>
  <c r="P106" i="18"/>
  <c r="P172" i="18"/>
  <c r="P248" i="18"/>
  <c r="P251" i="18"/>
  <c r="P150" i="18"/>
  <c r="P93" i="18"/>
  <c r="P79" i="18"/>
  <c r="P107" i="18"/>
  <c r="P307" i="18"/>
  <c r="P210" i="18"/>
  <c r="P142" i="18"/>
  <c r="P268" i="18"/>
  <c r="P9" i="18"/>
  <c r="P33" i="18"/>
  <c r="P113" i="18"/>
  <c r="P86" i="18"/>
  <c r="P45" i="18"/>
  <c r="P126" i="18"/>
  <c r="P49" i="18"/>
  <c r="P184" i="18"/>
  <c r="P22" i="18"/>
  <c r="P215" i="18"/>
  <c r="P227" i="18"/>
  <c r="P183" i="18"/>
  <c r="P262" i="18"/>
  <c r="P269" i="18"/>
  <c r="P257" i="18"/>
  <c r="P260" i="18"/>
  <c r="P252" i="18"/>
  <c r="P209" i="18"/>
  <c r="P25" i="18"/>
  <c r="P131" i="18"/>
  <c r="P64" i="18"/>
  <c r="P149" i="18"/>
  <c r="P256" i="18"/>
  <c r="P48" i="18"/>
  <c r="P18" i="18"/>
  <c r="P145" i="18"/>
  <c r="P239" i="18"/>
  <c r="P77" i="18"/>
  <c r="P20" i="18"/>
  <c r="P250" i="18"/>
  <c r="P114" i="18"/>
  <c r="P211" i="18"/>
  <c r="P39" i="18"/>
  <c r="P264" i="18"/>
  <c r="P177" i="18"/>
  <c r="P192" i="18"/>
  <c r="P162" i="18"/>
  <c r="P180" i="18"/>
  <c r="P90" i="18"/>
  <c r="P166" i="18"/>
  <c r="P80" i="18"/>
  <c r="P168" i="18"/>
  <c r="P60" i="18"/>
  <c r="P213" i="18"/>
  <c r="P19" i="18"/>
  <c r="P16" i="18"/>
  <c r="P263" i="18"/>
  <c r="P116" i="18"/>
  <c r="P132" i="18"/>
  <c r="P196" i="18"/>
  <c r="P83" i="18"/>
  <c r="P226" i="18"/>
  <c r="P193" i="18"/>
  <c r="P85" i="18"/>
  <c r="P143" i="18"/>
  <c r="P75" i="18"/>
  <c r="P136" i="18"/>
  <c r="P50" i="18"/>
  <c r="P173" i="18"/>
  <c r="P272" i="18"/>
  <c r="P232" i="18"/>
  <c r="P243" i="18"/>
  <c r="P134" i="18"/>
  <c r="P293" i="18"/>
  <c r="P73" i="18"/>
  <c r="P267" i="18"/>
  <c r="P32" i="18"/>
  <c r="P275" i="18"/>
  <c r="P128" i="18"/>
  <c r="P13" i="18"/>
  <c r="P146" i="18"/>
  <c r="P187" i="18"/>
  <c r="P270" i="18"/>
  <c r="P228" i="18"/>
  <c r="P42" i="18"/>
  <c r="P306" i="18"/>
  <c r="P26" i="18"/>
  <c r="P122" i="18"/>
  <c r="P160" i="18"/>
  <c r="P139" i="18"/>
  <c r="P38" i="18"/>
  <c r="P6" i="18"/>
  <c r="P258" i="18"/>
  <c r="P198" i="18"/>
  <c r="P87" i="18"/>
  <c r="P102" i="18"/>
  <c r="P290" i="18"/>
  <c r="P105" i="18"/>
  <c r="P208" i="18"/>
  <c r="P285" i="18"/>
  <c r="P254" i="18"/>
  <c r="P52" i="18"/>
  <c r="P259" i="18"/>
  <c r="P246" i="18"/>
  <c r="P101" i="18"/>
  <c r="P98" i="18"/>
  <c r="P35" i="18"/>
  <c r="P148" i="18"/>
  <c r="P170" i="18"/>
  <c r="H318" i="18"/>
  <c r="P84" i="18"/>
  <c r="AC307" i="22" l="1"/>
  <c r="AD307" i="22" s="1"/>
  <c r="AA10" i="22"/>
  <c r="L12" i="9" s="1"/>
  <c r="M12" i="9" s="1"/>
  <c r="G15" i="9"/>
  <c r="W15" i="10" s="1"/>
  <c r="U70" i="10"/>
  <c r="G70" i="10" s="1"/>
  <c r="U224" i="10"/>
  <c r="G224" i="10" s="1"/>
  <c r="U109" i="10"/>
  <c r="G109" i="10" s="1"/>
  <c r="U303" i="10"/>
  <c r="G303" i="10" s="1"/>
  <c r="U169" i="10"/>
  <c r="G169" i="10" s="1"/>
  <c r="U125" i="10"/>
  <c r="G125" i="10" s="1"/>
  <c r="U207" i="10"/>
  <c r="G207" i="10" s="1"/>
  <c r="U145" i="10"/>
  <c r="G145" i="10" s="1"/>
  <c r="C312" i="10"/>
  <c r="O5" i="18"/>
  <c r="N5" i="18"/>
  <c r="N318" i="18" s="1"/>
  <c r="M5" i="18"/>
  <c r="L5" i="18"/>
  <c r="AA33" i="22"/>
  <c r="L35" i="9" s="1"/>
  <c r="M35" i="9" s="1"/>
  <c r="AA222" i="22"/>
  <c r="L224" i="9" s="1"/>
  <c r="M224" i="9" s="1"/>
  <c r="Z277" i="22"/>
  <c r="F279" i="9" s="1"/>
  <c r="AC277" i="22" s="1"/>
  <c r="AD277" i="22" s="1"/>
  <c r="Q208" i="18"/>
  <c r="G211" i="22"/>
  <c r="U213" i="10" s="1"/>
  <c r="Q132" i="18"/>
  <c r="G135" i="22"/>
  <c r="Q18" i="18"/>
  <c r="G21" i="22"/>
  <c r="Q9" i="18"/>
  <c r="G12" i="22"/>
  <c r="Q301" i="18"/>
  <c r="G304" i="22"/>
  <c r="Z304" i="22" s="1"/>
  <c r="F307" i="9" s="1"/>
  <c r="Q138" i="18"/>
  <c r="G141" i="22"/>
  <c r="U143" i="10" s="1"/>
  <c r="G143" i="10" s="1"/>
  <c r="Q188" i="18"/>
  <c r="G191" i="22"/>
  <c r="AA191" i="22" s="1"/>
  <c r="L193" i="9" s="1"/>
  <c r="M193" i="9" s="1"/>
  <c r="Q8" i="18"/>
  <c r="G11" i="22"/>
  <c r="Q271" i="18"/>
  <c r="G274" i="22"/>
  <c r="Q213" i="18"/>
  <c r="G216" i="22"/>
  <c r="U218" i="10" s="1"/>
  <c r="G218" i="10" s="1"/>
  <c r="Q170" i="18"/>
  <c r="G173" i="22"/>
  <c r="U175" i="10" s="1"/>
  <c r="G175" i="10" s="1"/>
  <c r="Q258" i="18"/>
  <c r="G261" i="22"/>
  <c r="Q42" i="18"/>
  <c r="G45" i="22"/>
  <c r="U47" i="10" s="1"/>
  <c r="G47" i="10" s="1"/>
  <c r="Q173" i="18"/>
  <c r="G176" i="22"/>
  <c r="U178" i="10" s="1"/>
  <c r="Q60" i="18"/>
  <c r="G63" i="22"/>
  <c r="U65" i="10" s="1"/>
  <c r="G65" i="10" s="1"/>
  <c r="Q239" i="18"/>
  <c r="G242" i="22"/>
  <c r="U244" i="10" s="1"/>
  <c r="G244" i="10" s="1"/>
  <c r="Q227" i="18"/>
  <c r="G230" i="22"/>
  <c r="U232" i="10" s="1"/>
  <c r="Q79" i="18"/>
  <c r="G82" i="22"/>
  <c r="U84" i="10" s="1"/>
  <c r="Q194" i="18"/>
  <c r="G197" i="22"/>
  <c r="U199" i="10" s="1"/>
  <c r="Q61" i="18"/>
  <c r="G64" i="22"/>
  <c r="Q158" i="18"/>
  <c r="G161" i="22"/>
  <c r="Q37" i="18"/>
  <c r="G40" i="22"/>
  <c r="Z40" i="22" s="1"/>
  <c r="F42" i="9" s="1"/>
  <c r="Q253" i="18"/>
  <c r="G256" i="22"/>
  <c r="U258" i="10" s="1"/>
  <c r="Q125" i="18"/>
  <c r="G128" i="22"/>
  <c r="Q127" i="18"/>
  <c r="G130" i="22"/>
  <c r="U132" i="10" s="1"/>
  <c r="Q277" i="18"/>
  <c r="G280" i="22"/>
  <c r="Q266" i="18"/>
  <c r="G269" i="22"/>
  <c r="U271" i="10" s="1"/>
  <c r="G271" i="10" s="1"/>
  <c r="Q72" i="18"/>
  <c r="G75" i="22"/>
  <c r="AA75" i="22" s="1"/>
  <c r="L77" i="9" s="1"/>
  <c r="M77" i="9" s="1"/>
  <c r="Q238" i="18"/>
  <c r="G241" i="22"/>
  <c r="U243" i="10" s="1"/>
  <c r="G243" i="10" s="1"/>
  <c r="Q148" i="18"/>
  <c r="G151" i="22"/>
  <c r="Q285" i="18"/>
  <c r="G288" i="22"/>
  <c r="U290" i="10" s="1"/>
  <c r="G290" i="10" s="1"/>
  <c r="Q6" i="18"/>
  <c r="G9" i="22"/>
  <c r="Q228" i="18"/>
  <c r="G231" i="22"/>
  <c r="U233" i="10" s="1"/>
  <c r="Q267" i="18"/>
  <c r="G270" i="22"/>
  <c r="U272" i="10" s="1"/>
  <c r="Q50" i="18"/>
  <c r="G53" i="22"/>
  <c r="Q196" i="18"/>
  <c r="G199" i="22"/>
  <c r="Q168" i="18"/>
  <c r="G171" i="22"/>
  <c r="U173" i="10" s="1"/>
  <c r="G173" i="10" s="1"/>
  <c r="Q264" i="18"/>
  <c r="G267" i="22"/>
  <c r="Q145" i="18"/>
  <c r="G148" i="22"/>
  <c r="U150" i="10" s="1"/>
  <c r="Q209" i="18"/>
  <c r="G212" i="22"/>
  <c r="U214" i="10" s="1"/>
  <c r="Q215" i="18"/>
  <c r="G218" i="22"/>
  <c r="U220" i="10" s="1"/>
  <c r="Q33" i="18"/>
  <c r="G36" i="22"/>
  <c r="U38" i="10" s="1"/>
  <c r="G38" i="10" s="1"/>
  <c r="Q93" i="18"/>
  <c r="G96" i="22"/>
  <c r="U98" i="10" s="1"/>
  <c r="Q241" i="18"/>
  <c r="G244" i="22"/>
  <c r="Q118" i="18"/>
  <c r="G121" i="22"/>
  <c r="Q21" i="18"/>
  <c r="G24" i="22"/>
  <c r="Q124" i="18"/>
  <c r="G127" i="22"/>
  <c r="Q283" i="18"/>
  <c r="G286" i="22"/>
  <c r="Q29" i="18"/>
  <c r="G32" i="22"/>
  <c r="U34" i="10" s="1"/>
  <c r="G34" i="10" s="1"/>
  <c r="Q119" i="18"/>
  <c r="G122" i="22"/>
  <c r="U124" i="10" s="1"/>
  <c r="Q110" i="18"/>
  <c r="G113" i="22"/>
  <c r="U115" i="10" s="1"/>
  <c r="Q70" i="18"/>
  <c r="G73" i="22"/>
  <c r="Q157" i="18"/>
  <c r="G160" i="22"/>
  <c r="U162" i="10" s="1"/>
  <c r="G162" i="10" s="1"/>
  <c r="Q174" i="18"/>
  <c r="G177" i="22"/>
  <c r="Q279" i="18"/>
  <c r="G282" i="22"/>
  <c r="U284" i="10" s="1"/>
  <c r="G284" i="10" s="1"/>
  <c r="Q94" i="18"/>
  <c r="G97" i="22"/>
  <c r="Q217" i="18"/>
  <c r="G220" i="22"/>
  <c r="U222" i="10" s="1"/>
  <c r="Q165" i="18"/>
  <c r="G168" i="22"/>
  <c r="Q62" i="18"/>
  <c r="G65" i="22"/>
  <c r="Q12" i="18"/>
  <c r="G15" i="22"/>
  <c r="Q297" i="18"/>
  <c r="G300" i="22"/>
  <c r="Q244" i="18"/>
  <c r="G247" i="22"/>
  <c r="U249" i="10" s="1"/>
  <c r="Q206" i="18"/>
  <c r="G208" i="22"/>
  <c r="Q201" i="18"/>
  <c r="G204" i="22"/>
  <c r="U206" i="10" s="1"/>
  <c r="U221" i="10"/>
  <c r="G221" i="10" s="1"/>
  <c r="Z219" i="22"/>
  <c r="F221" i="9" s="1"/>
  <c r="AA219" i="22"/>
  <c r="L221" i="9" s="1"/>
  <c r="M221" i="9" s="1"/>
  <c r="R229" i="10"/>
  <c r="D229" i="10" s="1"/>
  <c r="R155" i="10"/>
  <c r="D155" i="10" s="1"/>
  <c r="R123" i="10"/>
  <c r="D123" i="10" s="1"/>
  <c r="AC236" i="22"/>
  <c r="AD236" i="22" s="1"/>
  <c r="G238" i="9"/>
  <c r="W238" i="10" s="1"/>
  <c r="R102" i="10"/>
  <c r="D102" i="10" s="1"/>
  <c r="R60" i="10"/>
  <c r="D60" i="10" s="1"/>
  <c r="R171" i="10"/>
  <c r="D171" i="10" s="1"/>
  <c r="S135" i="10"/>
  <c r="E135" i="10" s="1"/>
  <c r="R179" i="10"/>
  <c r="D179" i="10" s="1"/>
  <c r="S143" i="10"/>
  <c r="E143" i="10" s="1"/>
  <c r="S14" i="10"/>
  <c r="E14" i="10" s="1"/>
  <c r="Z107" i="22"/>
  <c r="F109" i="9" s="1"/>
  <c r="R172" i="10"/>
  <c r="D172" i="10" s="1"/>
  <c r="R304" i="10"/>
  <c r="D304" i="10" s="1"/>
  <c r="R130" i="10"/>
  <c r="D130" i="10" s="1"/>
  <c r="S119" i="10"/>
  <c r="E119" i="10" s="1"/>
  <c r="R20" i="10"/>
  <c r="D20" i="10" s="1"/>
  <c r="R157" i="10"/>
  <c r="D157" i="10" s="1"/>
  <c r="S183" i="10"/>
  <c r="E183" i="10" s="1"/>
  <c r="R293" i="10"/>
  <c r="D293" i="10" s="1"/>
  <c r="Z222" i="22"/>
  <c r="F224" i="9" s="1"/>
  <c r="R83" i="10"/>
  <c r="D83" i="10" s="1"/>
  <c r="R147" i="10"/>
  <c r="D147" i="10" s="1"/>
  <c r="AA62" i="22"/>
  <c r="L64" i="9" s="1"/>
  <c r="M64" i="9" s="1"/>
  <c r="R170" i="10"/>
  <c r="D170" i="10" s="1"/>
  <c r="R113" i="10"/>
  <c r="D113" i="10" s="1"/>
  <c r="S71" i="10"/>
  <c r="E71" i="10" s="1"/>
  <c r="G12" i="10"/>
  <c r="Z10" i="22"/>
  <c r="F12" i="9" s="1"/>
  <c r="Q270" i="18"/>
  <c r="G273" i="22"/>
  <c r="Q39" i="18"/>
  <c r="G42" i="22"/>
  <c r="Q137" i="18"/>
  <c r="G140" i="22"/>
  <c r="U142" i="10" s="1"/>
  <c r="Q295" i="18"/>
  <c r="G298" i="22"/>
  <c r="Q221" i="18"/>
  <c r="G224" i="22"/>
  <c r="Q98" i="18"/>
  <c r="G101" i="22"/>
  <c r="Q293" i="18"/>
  <c r="G296" i="22"/>
  <c r="U298" i="10" s="1"/>
  <c r="Q260" i="18"/>
  <c r="G263" i="22"/>
  <c r="U265" i="10" s="1"/>
  <c r="Q41" i="18"/>
  <c r="G44" i="22"/>
  <c r="U46" i="10" s="1"/>
  <c r="R91" i="10"/>
  <c r="D91" i="10" s="1"/>
  <c r="S22" i="10"/>
  <c r="E22" i="10" s="1"/>
  <c r="E100" i="25" s="1"/>
  <c r="AC301" i="22"/>
  <c r="AD301" i="22" s="1"/>
  <c r="G303" i="9"/>
  <c r="W303" i="10" s="1"/>
  <c r="R107" i="10"/>
  <c r="D107" i="10" s="1"/>
  <c r="S103" i="10"/>
  <c r="E103" i="10" s="1"/>
  <c r="Z62" i="22"/>
  <c r="F64" i="9" s="1"/>
  <c r="T17" i="10"/>
  <c r="F17" i="10" s="1"/>
  <c r="R209" i="10"/>
  <c r="D209" i="10" s="1"/>
  <c r="S175" i="10"/>
  <c r="E175" i="10" s="1"/>
  <c r="R260" i="10"/>
  <c r="D260" i="10" s="1"/>
  <c r="R212" i="10"/>
  <c r="D212" i="10" s="1"/>
  <c r="Q105" i="18"/>
  <c r="G108" i="22"/>
  <c r="Q187" i="18"/>
  <c r="G190" i="22"/>
  <c r="Q116" i="18"/>
  <c r="G119" i="22"/>
  <c r="Q166" i="18"/>
  <c r="G169" i="22"/>
  <c r="U171" i="10" s="1"/>
  <c r="Q48" i="18"/>
  <c r="G51" i="22"/>
  <c r="Q184" i="18"/>
  <c r="G187" i="22"/>
  <c r="Q251" i="18"/>
  <c r="G254" i="22"/>
  <c r="Q34" i="18"/>
  <c r="G37" i="22"/>
  <c r="Q190" i="18"/>
  <c r="G193" i="22"/>
  <c r="Q189" i="18"/>
  <c r="G192" i="22"/>
  <c r="Q249" i="18"/>
  <c r="G252" i="22"/>
  <c r="U254" i="10" s="1"/>
  <c r="Q156" i="18"/>
  <c r="G159" i="22"/>
  <c r="Q205" i="18"/>
  <c r="G207" i="22"/>
  <c r="AA207" i="22" s="1"/>
  <c r="L210" i="9" s="1"/>
  <c r="M210" i="9" s="1"/>
  <c r="Q63" i="18"/>
  <c r="G66" i="22"/>
  <c r="Q214" i="18"/>
  <c r="G217" i="22"/>
  <c r="Q197" i="18"/>
  <c r="G200" i="22"/>
  <c r="AA200" i="22" s="1"/>
  <c r="L202" i="9" s="1"/>
  <c r="M202" i="9" s="1"/>
  <c r="Q40" i="18"/>
  <c r="G43" i="22"/>
  <c r="U45" i="10" s="1"/>
  <c r="Q220" i="18"/>
  <c r="G223" i="22"/>
  <c r="U225" i="10" s="1"/>
  <c r="Q224" i="18"/>
  <c r="G227" i="22"/>
  <c r="U229" i="10" s="1"/>
  <c r="G229" i="10" s="1"/>
  <c r="Q66" i="18"/>
  <c r="G69" i="22"/>
  <c r="AA69" i="22" s="1"/>
  <c r="L71" i="9" s="1"/>
  <c r="M71" i="9" s="1"/>
  <c r="Q47" i="18"/>
  <c r="G50" i="22"/>
  <c r="U52" i="10" s="1"/>
  <c r="Q27" i="18"/>
  <c r="G30" i="22"/>
  <c r="Q36" i="18"/>
  <c r="G39" i="22"/>
  <c r="Q24" i="18"/>
  <c r="G27" i="22"/>
  <c r="Q67" i="18"/>
  <c r="G70" i="22"/>
  <c r="U72" i="10" s="1"/>
  <c r="Q200" i="18"/>
  <c r="G203" i="22"/>
  <c r="R104" i="10"/>
  <c r="D104" i="10" s="1"/>
  <c r="U61" i="10"/>
  <c r="G61" i="10" s="1"/>
  <c r="AA59" i="22"/>
  <c r="L61" i="9" s="1"/>
  <c r="M61" i="9" s="1"/>
  <c r="Z59" i="22"/>
  <c r="F61" i="9" s="1"/>
  <c r="S79" i="10"/>
  <c r="E79" i="10" s="1"/>
  <c r="Q160" i="18"/>
  <c r="G163" i="22"/>
  <c r="Q263" i="18"/>
  <c r="G266" i="22"/>
  <c r="Q256" i="18"/>
  <c r="G259" i="22"/>
  <c r="Z259" i="22" s="1"/>
  <c r="F261" i="9" s="1"/>
  <c r="Q248" i="18"/>
  <c r="G251" i="22"/>
  <c r="U253" i="10" s="1"/>
  <c r="Q15" i="18"/>
  <c r="G18" i="22"/>
  <c r="U20" i="10" s="1"/>
  <c r="G20" i="10" s="1"/>
  <c r="Q153" i="18"/>
  <c r="G156" i="22"/>
  <c r="U158" i="10" s="1"/>
  <c r="G158" i="10" s="1"/>
  <c r="Q43" i="18"/>
  <c r="G46" i="22"/>
  <c r="Q223" i="18"/>
  <c r="G226" i="22"/>
  <c r="Z167" i="22"/>
  <c r="F169" i="9" s="1"/>
  <c r="R302" i="10"/>
  <c r="D302" i="10" s="1"/>
  <c r="R183" i="10"/>
  <c r="D183" i="10" s="1"/>
  <c r="AA68" i="22"/>
  <c r="L70" i="9" s="1"/>
  <c r="M70" i="9" s="1"/>
  <c r="R33" i="10"/>
  <c r="D33" i="10" s="1"/>
  <c r="Z68" i="22"/>
  <c r="F70" i="9" s="1"/>
  <c r="S159" i="10"/>
  <c r="E159" i="10" s="1"/>
  <c r="R270" i="10"/>
  <c r="D270" i="10" s="1"/>
  <c r="R240" i="10"/>
  <c r="D240" i="10" s="1"/>
  <c r="R307" i="10"/>
  <c r="D307" i="10" s="1"/>
  <c r="Q139" i="18"/>
  <c r="G142" i="22"/>
  <c r="Z142" i="22" s="1"/>
  <c r="F144" i="9" s="1"/>
  <c r="Q75" i="18"/>
  <c r="G78" i="22"/>
  <c r="U80" i="10" s="1"/>
  <c r="G80" i="10" s="1"/>
  <c r="Q211" i="18"/>
  <c r="G214" i="22"/>
  <c r="U216" i="10" s="1"/>
  <c r="Q268" i="18"/>
  <c r="G271" i="22"/>
  <c r="Q176" i="18"/>
  <c r="G179" i="22"/>
  <c r="Q101" i="18"/>
  <c r="G104" i="22"/>
  <c r="Q146" i="18"/>
  <c r="G149" i="22"/>
  <c r="Q143" i="18"/>
  <c r="G146" i="22"/>
  <c r="Q90" i="18"/>
  <c r="G93" i="22"/>
  <c r="Q257" i="18"/>
  <c r="G260" i="22"/>
  <c r="Q142" i="18"/>
  <c r="G145" i="22"/>
  <c r="Q74" i="18"/>
  <c r="G77" i="22"/>
  <c r="Q78" i="18"/>
  <c r="G81" i="22"/>
  <c r="U83" i="10" s="1"/>
  <c r="G83" i="10" s="1"/>
  <c r="Q287" i="18"/>
  <c r="G290" i="22"/>
  <c r="U292" i="10" s="1"/>
  <c r="Q247" i="18"/>
  <c r="G250" i="22"/>
  <c r="Q99" i="18"/>
  <c r="G102" i="22"/>
  <c r="Q97" i="18"/>
  <c r="G100" i="22"/>
  <c r="U102" i="10" s="1"/>
  <c r="G102" i="10" s="1"/>
  <c r="Q286" i="18"/>
  <c r="G289" i="22"/>
  <c r="U291" i="10" s="1"/>
  <c r="G291" i="10" s="1"/>
  <c r="Q155" i="18"/>
  <c r="G158" i="22"/>
  <c r="U160" i="10" s="1"/>
  <c r="G160" i="10" s="1"/>
  <c r="Q212" i="18"/>
  <c r="G215" i="22"/>
  <c r="AA215" i="22" s="1"/>
  <c r="L217" i="9" s="1"/>
  <c r="M217" i="9" s="1"/>
  <c r="Q181" i="18"/>
  <c r="G184" i="22"/>
  <c r="U186" i="10" s="1"/>
  <c r="Q171" i="18"/>
  <c r="G174" i="22"/>
  <c r="U176" i="10" s="1"/>
  <c r="Q191" i="18"/>
  <c r="G194" i="22"/>
  <c r="U196" i="10" s="1"/>
  <c r="G196" i="10" s="1"/>
  <c r="Q163" i="18"/>
  <c r="G166" i="22"/>
  <c r="Q246" i="18"/>
  <c r="G249" i="22"/>
  <c r="Q102" i="18"/>
  <c r="G105" i="22"/>
  <c r="Q122" i="18"/>
  <c r="G125" i="22"/>
  <c r="U127" i="10" s="1"/>
  <c r="G127" i="10" s="1"/>
  <c r="Q13" i="18"/>
  <c r="G16" i="22"/>
  <c r="U18" i="10" s="1"/>
  <c r="Q243" i="18"/>
  <c r="G246" i="22"/>
  <c r="U248" i="10" s="1"/>
  <c r="G248" i="10" s="1"/>
  <c r="Q85" i="18"/>
  <c r="G88" i="22"/>
  <c r="Q16" i="18"/>
  <c r="G19" i="22"/>
  <c r="Z19" i="22" s="1"/>
  <c r="F21" i="9" s="1"/>
  <c r="Q180" i="18"/>
  <c r="G183" i="22"/>
  <c r="Q250" i="18"/>
  <c r="G253" i="22"/>
  <c r="Q149" i="18"/>
  <c r="G152" i="22"/>
  <c r="U154" i="10" s="1"/>
  <c r="Q269" i="18"/>
  <c r="G272" i="22"/>
  <c r="U274" i="10" s="1"/>
  <c r="G274" i="10" s="1"/>
  <c r="Q126" i="18"/>
  <c r="G129" i="22"/>
  <c r="AA129" i="22" s="1"/>
  <c r="L131" i="9" s="1"/>
  <c r="M131" i="9" s="1"/>
  <c r="Q210" i="18"/>
  <c r="G213" i="22"/>
  <c r="Q172" i="18"/>
  <c r="G175" i="22"/>
  <c r="Q242" i="18"/>
  <c r="G245" i="22"/>
  <c r="Q23" i="18"/>
  <c r="G26" i="22"/>
  <c r="Q282" i="18"/>
  <c r="G285" i="22"/>
  <c r="Q111" i="18"/>
  <c r="G114" i="22"/>
  <c r="U116" i="10" s="1"/>
  <c r="G116" i="10" s="1"/>
  <c r="Q300" i="18"/>
  <c r="G303" i="22"/>
  <c r="U306" i="10" s="1"/>
  <c r="G306" i="10" s="1"/>
  <c r="Q123" i="18"/>
  <c r="G126" i="22"/>
  <c r="U128" i="10" s="1"/>
  <c r="G128" i="10" s="1"/>
  <c r="Q121" i="18"/>
  <c r="G124" i="22"/>
  <c r="Q303" i="18"/>
  <c r="G306" i="22"/>
  <c r="U309" i="10" s="1"/>
  <c r="Q54" i="18"/>
  <c r="G57" i="22"/>
  <c r="Q292" i="18"/>
  <c r="G295" i="22"/>
  <c r="Q245" i="18"/>
  <c r="G248" i="22"/>
  <c r="Q235" i="18"/>
  <c r="G238" i="22"/>
  <c r="Q17" i="18"/>
  <c r="G20" i="22"/>
  <c r="U22" i="10" s="1"/>
  <c r="G22" i="10" s="1"/>
  <c r="E102" i="25" s="1"/>
  <c r="Q129" i="18"/>
  <c r="G132" i="22"/>
  <c r="U134" i="10" s="1"/>
  <c r="Q231" i="18"/>
  <c r="G234" i="22"/>
  <c r="Q167" i="18"/>
  <c r="G170" i="22"/>
  <c r="U172" i="10" s="1"/>
  <c r="G172" i="10" s="1"/>
  <c r="Q53" i="18"/>
  <c r="G56" i="22"/>
  <c r="Q222" i="18"/>
  <c r="G225" i="22"/>
  <c r="U227" i="10" s="1"/>
  <c r="Q28" i="18"/>
  <c r="G31" i="22"/>
  <c r="Q261" i="18"/>
  <c r="G264" i="22"/>
  <c r="AA277" i="22"/>
  <c r="L279" i="9" s="1"/>
  <c r="M279" i="9" s="1"/>
  <c r="U296" i="10"/>
  <c r="G296" i="10" s="1"/>
  <c r="Z294" i="22"/>
  <c r="F296" i="9" s="1"/>
  <c r="AA294" i="22"/>
  <c r="L296" i="9" s="1"/>
  <c r="M296" i="9" s="1"/>
  <c r="R86" i="10"/>
  <c r="D86" i="10" s="1"/>
  <c r="S63" i="10"/>
  <c r="E63" i="10" s="1"/>
  <c r="R67" i="10"/>
  <c r="D67" i="10" s="1"/>
  <c r="S127" i="10"/>
  <c r="E127" i="10" s="1"/>
  <c r="R196" i="10"/>
  <c r="D196" i="10" s="1"/>
  <c r="Q288" i="18"/>
  <c r="G291" i="22"/>
  <c r="T49" i="10"/>
  <c r="F49" i="10" s="1"/>
  <c r="R203" i="10"/>
  <c r="D203" i="10" s="1"/>
  <c r="S95" i="10"/>
  <c r="E95" i="10" s="1"/>
  <c r="AA143" i="22"/>
  <c r="L145" i="9" s="1"/>
  <c r="M145" i="9" s="1"/>
  <c r="R62" i="10"/>
  <c r="D62" i="10" s="1"/>
  <c r="S151" i="10"/>
  <c r="E151" i="10" s="1"/>
  <c r="S23" i="10"/>
  <c r="E23" i="10" s="1"/>
  <c r="Q73" i="18"/>
  <c r="G76" i="22"/>
  <c r="AA76" i="22" s="1"/>
  <c r="L78" i="9" s="1"/>
  <c r="M78" i="9" s="1"/>
  <c r="Q80" i="18"/>
  <c r="G83" i="22"/>
  <c r="U85" i="10" s="1"/>
  <c r="G85" i="10" s="1"/>
  <c r="Q22" i="18"/>
  <c r="G25" i="22"/>
  <c r="Q91" i="18"/>
  <c r="G94" i="22"/>
  <c r="Q302" i="18"/>
  <c r="G305" i="22"/>
  <c r="Q103" i="18"/>
  <c r="G106" i="22"/>
  <c r="Q51" i="18"/>
  <c r="G54" i="22"/>
  <c r="U56" i="10" s="1"/>
  <c r="Q230" i="18"/>
  <c r="G233" i="22"/>
  <c r="U235" i="10" s="1"/>
  <c r="G235" i="10" s="1"/>
  <c r="Q69" i="18"/>
  <c r="G72" i="22"/>
  <c r="Q71" i="18"/>
  <c r="G74" i="22"/>
  <c r="Q278" i="18"/>
  <c r="G281" i="22"/>
  <c r="U283" i="10" s="1"/>
  <c r="G36" i="10"/>
  <c r="AA34" i="22"/>
  <c r="L36" i="9" s="1"/>
  <c r="M36" i="9" s="1"/>
  <c r="Z34" i="22"/>
  <c r="F36" i="9" s="1"/>
  <c r="Q290" i="18"/>
  <c r="G293" i="22"/>
  <c r="U295" i="10" s="1"/>
  <c r="Q134" i="18"/>
  <c r="G137" i="22"/>
  <c r="AA137" i="22" s="1"/>
  <c r="L139" i="9" s="1"/>
  <c r="M139" i="9" s="1"/>
  <c r="Q114" i="18"/>
  <c r="G117" i="22"/>
  <c r="U119" i="10" s="1"/>
  <c r="G119" i="10" s="1"/>
  <c r="Q49" i="18"/>
  <c r="G52" i="22"/>
  <c r="Q276" i="18"/>
  <c r="G279" i="22"/>
  <c r="Q100" i="18"/>
  <c r="G103" i="22"/>
  <c r="Q152" i="18"/>
  <c r="G155" i="22"/>
  <c r="U157" i="10" s="1"/>
  <c r="G157" i="10" s="1"/>
  <c r="Q46" i="18"/>
  <c r="G49" i="22"/>
  <c r="U100" i="10"/>
  <c r="G100" i="10" s="1"/>
  <c r="Z98" i="22"/>
  <c r="F100" i="9" s="1"/>
  <c r="AA98" i="22"/>
  <c r="L100" i="9" s="1"/>
  <c r="M100" i="9" s="1"/>
  <c r="Q84" i="18"/>
  <c r="G87" i="22"/>
  <c r="Q259" i="18"/>
  <c r="G262" i="22"/>
  <c r="Q87" i="18"/>
  <c r="G90" i="22"/>
  <c r="U92" i="10" s="1"/>
  <c r="Q26" i="18"/>
  <c r="G29" i="22"/>
  <c r="U31" i="10" s="1"/>
  <c r="G31" i="10" s="1"/>
  <c r="Q128" i="18"/>
  <c r="G131" i="22"/>
  <c r="Q232" i="18"/>
  <c r="G235" i="22"/>
  <c r="U237" i="10" s="1"/>
  <c r="Q193" i="18"/>
  <c r="G196" i="22"/>
  <c r="U198" i="10" s="1"/>
  <c r="Q19" i="18"/>
  <c r="G22" i="22"/>
  <c r="U24" i="10" s="1"/>
  <c r="Q162" i="18"/>
  <c r="G165" i="22"/>
  <c r="U167" i="10" s="1"/>
  <c r="Q20" i="18"/>
  <c r="G23" i="22"/>
  <c r="Q64" i="18"/>
  <c r="G67" i="22"/>
  <c r="Q262" i="18"/>
  <c r="G265" i="22"/>
  <c r="Q45" i="18"/>
  <c r="G48" i="22"/>
  <c r="Q307" i="18"/>
  <c r="G310" i="22"/>
  <c r="Q106" i="18"/>
  <c r="G109" i="22"/>
  <c r="U111" i="10" s="1"/>
  <c r="G111" i="10" s="1"/>
  <c r="Q55" i="18"/>
  <c r="G58" i="22"/>
  <c r="Q296" i="18"/>
  <c r="G299" i="22"/>
  <c r="U301" i="10" s="1"/>
  <c r="G301" i="10" s="1"/>
  <c r="Q281" i="18"/>
  <c r="G284" i="22"/>
  <c r="U286" i="10" s="1"/>
  <c r="Q199" i="18"/>
  <c r="G202" i="22"/>
  <c r="U204" i="10" s="1"/>
  <c r="G204" i="10" s="1"/>
  <c r="Q175" i="18"/>
  <c r="G178" i="22"/>
  <c r="Q294" i="18"/>
  <c r="G297" i="22"/>
  <c r="Q161" i="18"/>
  <c r="G164" i="22"/>
  <c r="U166" i="10" s="1"/>
  <c r="G166" i="10" s="1"/>
  <c r="Q159" i="18"/>
  <c r="G162" i="22"/>
  <c r="Q225" i="18"/>
  <c r="G228" i="22"/>
  <c r="U230" i="10" s="1"/>
  <c r="Q185" i="18"/>
  <c r="G188" i="22"/>
  <c r="Q58" i="18"/>
  <c r="G61" i="22"/>
  <c r="Q182" i="18"/>
  <c r="G185" i="22"/>
  <c r="Q117" i="18"/>
  <c r="G120" i="22"/>
  <c r="U122" i="10" s="1"/>
  <c r="G122" i="10" s="1"/>
  <c r="Q299" i="18"/>
  <c r="G302" i="22"/>
  <c r="Q81" i="18"/>
  <c r="G84" i="22"/>
  <c r="U86" i="10" s="1"/>
  <c r="G86" i="10" s="1"/>
  <c r="Q305" i="18"/>
  <c r="G308" i="22"/>
  <c r="Q144" i="18"/>
  <c r="G147" i="22"/>
  <c r="Q14" i="18"/>
  <c r="G17" i="22"/>
  <c r="U19" i="10" s="1"/>
  <c r="Q255" i="18"/>
  <c r="G258" i="22"/>
  <c r="Q229" i="18"/>
  <c r="G232" i="22"/>
  <c r="U234" i="10" s="1"/>
  <c r="G234" i="10" s="1"/>
  <c r="Z123" i="22"/>
  <c r="F125" i="9" s="1"/>
  <c r="AA167" i="22"/>
  <c r="L169" i="9" s="1"/>
  <c r="M169" i="9" s="1"/>
  <c r="R63" i="10"/>
  <c r="D63" i="10" s="1"/>
  <c r="S55" i="10"/>
  <c r="E55" i="10" s="1"/>
  <c r="R294" i="10"/>
  <c r="D294" i="10" s="1"/>
  <c r="R162" i="10"/>
  <c r="D162" i="10" s="1"/>
  <c r="T42" i="10"/>
  <c r="F42" i="10" s="1"/>
  <c r="S111" i="10"/>
  <c r="E111" i="10" s="1"/>
  <c r="R114" i="10"/>
  <c r="D114" i="10" s="1"/>
  <c r="R75" i="10"/>
  <c r="D75" i="10" s="1"/>
  <c r="S167" i="10"/>
  <c r="E167" i="10" s="1"/>
  <c r="AA24" i="22"/>
  <c r="L26" i="9" s="1"/>
  <c r="M26" i="9" s="1"/>
  <c r="AA241" i="22"/>
  <c r="L243" i="9" s="1"/>
  <c r="M243" i="9" s="1"/>
  <c r="R195" i="10"/>
  <c r="D195" i="10" s="1"/>
  <c r="U208" i="10"/>
  <c r="G208" i="10" s="1"/>
  <c r="Z205" i="22"/>
  <c r="F208" i="9" s="1"/>
  <c r="AA205" i="22"/>
  <c r="L208" i="9" s="1"/>
  <c r="M208" i="9" s="1"/>
  <c r="R11" i="10"/>
  <c r="D11" i="10" s="1"/>
  <c r="Z143" i="22"/>
  <c r="F145" i="9" s="1"/>
  <c r="R174" i="10"/>
  <c r="D174" i="10" s="1"/>
  <c r="G245" i="10"/>
  <c r="Z243" i="22"/>
  <c r="F245" i="9" s="1"/>
  <c r="AA243" i="22"/>
  <c r="L245" i="9" s="1"/>
  <c r="M245" i="9" s="1"/>
  <c r="R131" i="10"/>
  <c r="D131" i="10" s="1"/>
  <c r="Q38" i="18"/>
  <c r="G41" i="22"/>
  <c r="Q198" i="18"/>
  <c r="G201" i="22"/>
  <c r="U203" i="10" s="1"/>
  <c r="G203" i="10" s="1"/>
  <c r="Q275" i="18"/>
  <c r="G278" i="22"/>
  <c r="Q226" i="18"/>
  <c r="G229" i="22"/>
  <c r="U231" i="10" s="1"/>
  <c r="Q77" i="18"/>
  <c r="G80" i="22"/>
  <c r="U82" i="10" s="1"/>
  <c r="G82" i="10" s="1"/>
  <c r="Q183" i="18"/>
  <c r="G186" i="22"/>
  <c r="Z186" i="22" s="1"/>
  <c r="F188" i="9" s="1"/>
  <c r="Q154" i="18"/>
  <c r="G157" i="22"/>
  <c r="U159" i="10" s="1"/>
  <c r="G159" i="10" s="1"/>
  <c r="Q273" i="18"/>
  <c r="G276" i="22"/>
  <c r="R166" i="10"/>
  <c r="D166" i="10" s="1"/>
  <c r="R59" i="10"/>
  <c r="D59" i="10" s="1"/>
  <c r="U191" i="10"/>
  <c r="G191" i="10" s="1"/>
  <c r="Z189" i="22"/>
  <c r="F191" i="9" s="1"/>
  <c r="G223" i="10"/>
  <c r="AA221" i="22"/>
  <c r="L223" i="9" s="1"/>
  <c r="M223" i="9" s="1"/>
  <c r="Z221" i="22"/>
  <c r="F223" i="9" s="1"/>
  <c r="R28" i="10"/>
  <c r="D28" i="10" s="1"/>
  <c r="R126" i="10"/>
  <c r="D126" i="10" s="1"/>
  <c r="R99" i="10"/>
  <c r="D99" i="10" s="1"/>
  <c r="R34" i="10"/>
  <c r="D34" i="10" s="1"/>
  <c r="AA135" i="22"/>
  <c r="L137" i="9" s="1"/>
  <c r="M137" i="9" s="1"/>
  <c r="R122" i="10"/>
  <c r="D122" i="10" s="1"/>
  <c r="R217" i="10"/>
  <c r="D217" i="10" s="1"/>
  <c r="Z33" i="22"/>
  <c r="F35" i="9" s="1"/>
  <c r="Q35" i="18"/>
  <c r="G38" i="22"/>
  <c r="Q136" i="18"/>
  <c r="G139" i="22"/>
  <c r="U141" i="10" s="1"/>
  <c r="Q252" i="18"/>
  <c r="G255" i="22"/>
  <c r="U257" i="10" s="1"/>
  <c r="Q150" i="18"/>
  <c r="G153" i="22"/>
  <c r="U155" i="10" s="1"/>
  <c r="Q237" i="18"/>
  <c r="G240" i="22"/>
  <c r="U242" i="10" s="1"/>
  <c r="G242" i="10" s="1"/>
  <c r="Q133" i="18"/>
  <c r="G136" i="22"/>
  <c r="Q76" i="18"/>
  <c r="G79" i="22"/>
  <c r="Q130" i="18"/>
  <c r="G133" i="22"/>
  <c r="U135" i="10" s="1"/>
  <c r="Q52" i="18"/>
  <c r="G55" i="22"/>
  <c r="Q306" i="18"/>
  <c r="G309" i="22"/>
  <c r="Q272" i="18"/>
  <c r="G275" i="22"/>
  <c r="U277" i="10" s="1"/>
  <c r="G277" i="10" s="1"/>
  <c r="Q192" i="18"/>
  <c r="G195" i="22"/>
  <c r="U197" i="10" s="1"/>
  <c r="G197" i="10" s="1"/>
  <c r="Q131" i="18"/>
  <c r="G134" i="22"/>
  <c r="U136" i="10" s="1"/>
  <c r="G136" i="10" s="1"/>
  <c r="Q86" i="18"/>
  <c r="G89" i="22"/>
  <c r="U91" i="10" s="1"/>
  <c r="G91" i="10" s="1"/>
  <c r="Q107" i="18"/>
  <c r="G110" i="22"/>
  <c r="Q135" i="18"/>
  <c r="G138" i="22"/>
  <c r="Q57" i="18"/>
  <c r="G60" i="22"/>
  <c r="U62" i="10" s="1"/>
  <c r="G62" i="10" s="1"/>
  <c r="Q88" i="18"/>
  <c r="G91" i="22"/>
  <c r="U93" i="10" s="1"/>
  <c r="G93" i="10" s="1"/>
  <c r="Q141" i="18"/>
  <c r="G144" i="22"/>
  <c r="Q11" i="18"/>
  <c r="G14" i="22"/>
  <c r="U16" i="10" s="1"/>
  <c r="Q178" i="18"/>
  <c r="G181" i="22"/>
  <c r="U183" i="10" s="1"/>
  <c r="G183" i="10" s="1"/>
  <c r="Q112" i="18"/>
  <c r="G115" i="22"/>
  <c r="Q92" i="18"/>
  <c r="G95" i="22"/>
  <c r="U97" i="10" s="1"/>
  <c r="Q280" i="18"/>
  <c r="G283" i="22"/>
  <c r="U285" i="10" s="1"/>
  <c r="Q204" i="18"/>
  <c r="G206" i="22"/>
  <c r="Q207" i="18"/>
  <c r="G210" i="22"/>
  <c r="U212" i="10" s="1"/>
  <c r="G212" i="10" s="1"/>
  <c r="Q236" i="18"/>
  <c r="G239" i="22"/>
  <c r="Q265" i="18"/>
  <c r="G268" i="22"/>
  <c r="Q234" i="18"/>
  <c r="G237" i="22"/>
  <c r="Q289" i="18"/>
  <c r="G292" i="22"/>
  <c r="Q108" i="18"/>
  <c r="G111" i="22"/>
  <c r="U113" i="10" s="1"/>
  <c r="G113" i="10" s="1"/>
  <c r="Q169" i="18"/>
  <c r="G172" i="22"/>
  <c r="Q151" i="18"/>
  <c r="G154" i="22"/>
  <c r="Q195" i="18"/>
  <c r="G198" i="22"/>
  <c r="U200" i="10" s="1"/>
  <c r="G200" i="10" s="1"/>
  <c r="R241" i="10"/>
  <c r="D241" i="10" s="1"/>
  <c r="R187" i="10"/>
  <c r="D187" i="10" s="1"/>
  <c r="Q254" i="18"/>
  <c r="G257" i="22"/>
  <c r="Q32" i="18"/>
  <c r="G35" i="22"/>
  <c r="U37" i="10" s="1"/>
  <c r="Q83" i="18"/>
  <c r="G86" i="22"/>
  <c r="U88" i="10" s="1"/>
  <c r="Q177" i="18"/>
  <c r="G180" i="22"/>
  <c r="U182" i="10" s="1"/>
  <c r="Q25" i="18"/>
  <c r="G28" i="22"/>
  <c r="Q113" i="18"/>
  <c r="G116" i="22"/>
  <c r="Q96" i="18"/>
  <c r="G99" i="22"/>
  <c r="U101" i="10" s="1"/>
  <c r="G101" i="10" s="1"/>
  <c r="Q179" i="18"/>
  <c r="G182" i="22"/>
  <c r="U184" i="10" s="1"/>
  <c r="G184" i="10" s="1"/>
  <c r="Q44" i="18"/>
  <c r="G47" i="22"/>
  <c r="Q109" i="18"/>
  <c r="G112" i="22"/>
  <c r="Q68" i="18"/>
  <c r="G71" i="22"/>
  <c r="Q147" i="18"/>
  <c r="G150" i="22"/>
  <c r="U152" i="10" s="1"/>
  <c r="Q284" i="18"/>
  <c r="G287" i="22"/>
  <c r="U289" i="10" s="1"/>
  <c r="Q89" i="18"/>
  <c r="G92" i="22"/>
  <c r="Q115" i="18"/>
  <c r="G118" i="22"/>
  <c r="U120" i="10" s="1"/>
  <c r="Q82" i="18"/>
  <c r="G85" i="22"/>
  <c r="R51" i="10"/>
  <c r="D51" i="10" s="1"/>
  <c r="S54" i="10"/>
  <c r="E54" i="10" s="1"/>
  <c r="R32" i="10"/>
  <c r="D32" i="10" s="1"/>
  <c r="R45" i="10"/>
  <c r="D45" i="10" s="1"/>
  <c r="Z43" i="22"/>
  <c r="F45" i="9" s="1"/>
  <c r="R284" i="10"/>
  <c r="D284" i="10" s="1"/>
  <c r="R204" i="10"/>
  <c r="D204" i="10" s="1"/>
  <c r="AA123" i="22"/>
  <c r="L125" i="9" s="1"/>
  <c r="M125" i="9" s="1"/>
  <c r="R139" i="10"/>
  <c r="D139" i="10" s="1"/>
  <c r="Z209" i="22"/>
  <c r="F207" i="9" s="1"/>
  <c r="O318" i="18"/>
  <c r="I318" i="18"/>
  <c r="X321" i="22"/>
  <c r="Z32" i="22" l="1"/>
  <c r="F34" i="9" s="1"/>
  <c r="Z45" i="22"/>
  <c r="F47" i="9" s="1"/>
  <c r="Z160" i="22"/>
  <c r="F162" i="9" s="1"/>
  <c r="P5" i="18"/>
  <c r="Z241" i="22"/>
  <c r="F243" i="9" s="1"/>
  <c r="AA304" i="22"/>
  <c r="L307" i="9" s="1"/>
  <c r="M307" i="9" s="1"/>
  <c r="Z171" i="22"/>
  <c r="F173" i="9" s="1"/>
  <c r="AC171" i="22" s="1"/>
  <c r="AD171" i="22" s="1"/>
  <c r="AA171" i="22"/>
  <c r="L173" i="9" s="1"/>
  <c r="M173" i="9" s="1"/>
  <c r="AA45" i="22"/>
  <c r="L47" i="9" s="1"/>
  <c r="M47" i="9" s="1"/>
  <c r="AA32" i="22"/>
  <c r="L34" i="9" s="1"/>
  <c r="M34" i="9" s="1"/>
  <c r="AA160" i="22"/>
  <c r="L162" i="9" s="1"/>
  <c r="M162" i="9" s="1"/>
  <c r="U118" i="10"/>
  <c r="G118" i="10" s="1"/>
  <c r="U174" i="10"/>
  <c r="G174" i="10" s="1"/>
  <c r="U270" i="10"/>
  <c r="G270" i="10" s="1"/>
  <c r="U51" i="10"/>
  <c r="G51" i="10" s="1"/>
  <c r="U54" i="10"/>
  <c r="G54" i="10" s="1"/>
  <c r="U78" i="10"/>
  <c r="G78" i="10" s="1"/>
  <c r="U33" i="10"/>
  <c r="G33" i="10" s="1"/>
  <c r="U236" i="10"/>
  <c r="G236" i="10" s="1"/>
  <c r="U126" i="10"/>
  <c r="G126" i="10" s="1"/>
  <c r="U255" i="10"/>
  <c r="G255" i="10" s="1"/>
  <c r="U251" i="10"/>
  <c r="G251" i="10" s="1"/>
  <c r="U95" i="10"/>
  <c r="G95" i="10" s="1"/>
  <c r="U144" i="10"/>
  <c r="G144" i="10" s="1"/>
  <c r="U48" i="10"/>
  <c r="G48" i="10" s="1"/>
  <c r="U17" i="10"/>
  <c r="G17" i="10" s="1"/>
  <c r="U99" i="10"/>
  <c r="G99" i="10" s="1"/>
  <c r="AA73" i="22"/>
  <c r="L75" i="9" s="1"/>
  <c r="M75" i="9" s="1"/>
  <c r="U75" i="10"/>
  <c r="Z286" i="22"/>
  <c r="F288" i="9" s="1"/>
  <c r="U288" i="10"/>
  <c r="G288" i="10" s="1"/>
  <c r="U246" i="10"/>
  <c r="G246" i="10" s="1"/>
  <c r="U201" i="10"/>
  <c r="G201" i="10" s="1"/>
  <c r="AA9" i="22"/>
  <c r="L11" i="9" s="1"/>
  <c r="M11" i="9" s="1"/>
  <c r="U11" i="10"/>
  <c r="G11" i="10" s="1"/>
  <c r="U130" i="10"/>
  <c r="G130" i="10" s="1"/>
  <c r="U263" i="10"/>
  <c r="G263" i="10" s="1"/>
  <c r="U14" i="10"/>
  <c r="G14" i="10" s="1"/>
  <c r="U241" i="10"/>
  <c r="G241" i="10" s="1"/>
  <c r="Z47" i="22"/>
  <c r="F49" i="9" s="1"/>
  <c r="AC47" i="22" s="1"/>
  <c r="AD47" i="22" s="1"/>
  <c r="U49" i="10"/>
  <c r="U30" i="10"/>
  <c r="G30" i="10" s="1"/>
  <c r="U188" i="10"/>
  <c r="G188" i="10" s="1"/>
  <c r="AA72" i="22"/>
  <c r="L74" i="9" s="1"/>
  <c r="M74" i="9" s="1"/>
  <c r="U74" i="10"/>
  <c r="G74" i="10" s="1"/>
  <c r="U260" i="10"/>
  <c r="G260" i="10" s="1"/>
  <c r="U63" i="10"/>
  <c r="G63" i="10" s="1"/>
  <c r="U264" i="10"/>
  <c r="G264" i="10" s="1"/>
  <c r="U41" i="10"/>
  <c r="G41" i="10" s="1"/>
  <c r="U219" i="10"/>
  <c r="G219" i="10" s="1"/>
  <c r="U96" i="10"/>
  <c r="G96" i="10" s="1"/>
  <c r="U28" i="10"/>
  <c r="G28" i="10" s="1"/>
  <c r="AA183" i="22"/>
  <c r="L185" i="9" s="1"/>
  <c r="M185" i="9" s="1"/>
  <c r="U185" i="10"/>
  <c r="G185" i="10" s="1"/>
  <c r="U217" i="10"/>
  <c r="G217" i="10" s="1"/>
  <c r="U104" i="10"/>
  <c r="G104" i="10" s="1"/>
  <c r="U79" i="10"/>
  <c r="G79" i="10" s="1"/>
  <c r="U148" i="10"/>
  <c r="G148" i="10" s="1"/>
  <c r="U268" i="10"/>
  <c r="G268" i="10" s="1"/>
  <c r="AA101" i="22"/>
  <c r="L103" i="9" s="1"/>
  <c r="M103" i="9" s="1"/>
  <c r="U103" i="10"/>
  <c r="G103" i="10" s="1"/>
  <c r="Z42" i="22"/>
  <c r="F44" i="9" s="1"/>
  <c r="U44" i="10"/>
  <c r="G44" i="10" s="1"/>
  <c r="U67" i="10"/>
  <c r="G67" i="10" s="1"/>
  <c r="U129" i="10"/>
  <c r="G129" i="10" s="1"/>
  <c r="AA53" i="22"/>
  <c r="L55" i="9" s="1"/>
  <c r="M55" i="9" s="1"/>
  <c r="U55" i="10"/>
  <c r="G55" i="10" s="1"/>
  <c r="U193" i="10"/>
  <c r="G193" i="10" s="1"/>
  <c r="AA21" i="22"/>
  <c r="L23" i="9" s="1"/>
  <c r="M23" i="9" s="1"/>
  <c r="U23" i="10"/>
  <c r="G23" i="10" s="1"/>
  <c r="U43" i="10"/>
  <c r="G43" i="10" s="1"/>
  <c r="U304" i="10"/>
  <c r="G304" i="10" s="1"/>
  <c r="U299" i="10"/>
  <c r="G299" i="10" s="1"/>
  <c r="U50" i="10"/>
  <c r="G50" i="10" s="1"/>
  <c r="U133" i="10"/>
  <c r="G133" i="10" s="1"/>
  <c r="U89" i="10"/>
  <c r="G89" i="10" s="1"/>
  <c r="U293" i="10"/>
  <c r="G293" i="10" s="1"/>
  <c r="U32" i="10"/>
  <c r="G32" i="10" s="1"/>
  <c r="U194" i="10"/>
  <c r="G194" i="10" s="1"/>
  <c r="U192" i="10"/>
  <c r="G192" i="10" s="1"/>
  <c r="U27" i="10"/>
  <c r="G27" i="10" s="1"/>
  <c r="U58" i="10"/>
  <c r="G58" i="10" s="1"/>
  <c r="U59" i="10"/>
  <c r="G59" i="10" s="1"/>
  <c r="U165" i="10"/>
  <c r="G165" i="10" s="1"/>
  <c r="U170" i="10"/>
  <c r="G170" i="10" s="1"/>
  <c r="U179" i="10"/>
  <c r="G179" i="10" s="1"/>
  <c r="U26" i="10"/>
  <c r="G26" i="10" s="1"/>
  <c r="U153" i="10"/>
  <c r="G153" i="10" s="1"/>
  <c r="U137" i="10"/>
  <c r="G137" i="10" s="1"/>
  <c r="U73" i="10"/>
  <c r="G73" i="10" s="1"/>
  <c r="U294" i="10"/>
  <c r="G294" i="10" s="1"/>
  <c r="U247" i="10"/>
  <c r="G247" i="10" s="1"/>
  <c r="U149" i="10"/>
  <c r="G149" i="10" s="1"/>
  <c r="U60" i="10"/>
  <c r="G60" i="10" s="1"/>
  <c r="U195" i="10"/>
  <c r="G195" i="10" s="1"/>
  <c r="Z51" i="22"/>
  <c r="F53" i="9" s="1"/>
  <c r="AC51" i="22" s="1"/>
  <c r="AD51" i="22" s="1"/>
  <c r="U53" i="10"/>
  <c r="G53" i="10" s="1"/>
  <c r="Z108" i="22"/>
  <c r="F110" i="9" s="1"/>
  <c r="AC108" i="22" s="1"/>
  <c r="AD108" i="22" s="1"/>
  <c r="U110" i="10"/>
  <c r="G110" i="10" s="1"/>
  <c r="U94" i="10"/>
  <c r="G94" i="10" s="1"/>
  <c r="U156" i="10"/>
  <c r="G156" i="10" s="1"/>
  <c r="U209" i="10"/>
  <c r="G209" i="10" s="1"/>
  <c r="U57" i="10"/>
  <c r="G57" i="10" s="1"/>
  <c r="U108" i="10"/>
  <c r="G108" i="10" s="1"/>
  <c r="AA105" i="22"/>
  <c r="L107" i="9" s="1"/>
  <c r="M107" i="9" s="1"/>
  <c r="U107" i="10"/>
  <c r="G107" i="10" s="1"/>
  <c r="U262" i="10"/>
  <c r="G262" i="10" s="1"/>
  <c r="U106" i="10"/>
  <c r="G106" i="10" s="1"/>
  <c r="U300" i="10"/>
  <c r="G300" i="10" s="1"/>
  <c r="U302" i="10"/>
  <c r="G302" i="10" s="1"/>
  <c r="AA121" i="22"/>
  <c r="L123" i="9" s="1"/>
  <c r="M123" i="9" s="1"/>
  <c r="U123" i="10"/>
  <c r="G123" i="10" s="1"/>
  <c r="U307" i="10"/>
  <c r="G307" i="10" s="1"/>
  <c r="U114" i="10"/>
  <c r="G114" i="10" s="1"/>
  <c r="U40" i="10"/>
  <c r="G40" i="10" s="1"/>
  <c r="U280" i="10"/>
  <c r="G280" i="10" s="1"/>
  <c r="U281" i="10"/>
  <c r="G281" i="10" s="1"/>
  <c r="U240" i="10"/>
  <c r="G240" i="10" s="1"/>
  <c r="U177" i="10"/>
  <c r="G177" i="10" s="1"/>
  <c r="U310" i="10"/>
  <c r="G310" i="10" s="1"/>
  <c r="U187" i="10"/>
  <c r="G187" i="10" s="1"/>
  <c r="U164" i="10"/>
  <c r="G164" i="10" s="1"/>
  <c r="U69" i="10"/>
  <c r="G69" i="10" s="1"/>
  <c r="Z27" i="22"/>
  <c r="F29" i="9" s="1"/>
  <c r="G29" i="9" s="1"/>
  <c r="U29" i="10"/>
  <c r="G29" i="10" s="1"/>
  <c r="U202" i="10"/>
  <c r="G202" i="10" s="1"/>
  <c r="Z25" i="22"/>
  <c r="F27" i="9" s="1"/>
  <c r="AC25" i="22" s="1"/>
  <c r="AD25" i="22" s="1"/>
  <c r="Z266" i="22"/>
  <c r="F268" i="9" s="1"/>
  <c r="AC266" i="22" s="1"/>
  <c r="AD266" i="22" s="1"/>
  <c r="AA49" i="22"/>
  <c r="L51" i="9" s="1"/>
  <c r="M51" i="9" s="1"/>
  <c r="AA146" i="22"/>
  <c r="L148" i="9" s="1"/>
  <c r="M148" i="9" s="1"/>
  <c r="Z93" i="22"/>
  <c r="F95" i="9" s="1"/>
  <c r="AC93" i="22" s="1"/>
  <c r="AD93" i="22" s="1"/>
  <c r="AA124" i="22"/>
  <c r="L126" i="9" s="1"/>
  <c r="M126" i="9" s="1"/>
  <c r="Z12" i="22"/>
  <c r="F14" i="9" s="1"/>
  <c r="AC12" i="22" s="1"/>
  <c r="AD12" i="22" s="1"/>
  <c r="Z126" i="22"/>
  <c r="F128" i="9" s="1"/>
  <c r="Z215" i="22"/>
  <c r="F217" i="9" s="1"/>
  <c r="G217" i="9" s="1"/>
  <c r="W217" i="10" s="1"/>
  <c r="Z97" i="22"/>
  <c r="F99" i="9" s="1"/>
  <c r="AC97" i="22" s="1"/>
  <c r="AD97" i="22" s="1"/>
  <c r="AA142" i="22"/>
  <c r="L144" i="9" s="1"/>
  <c r="M144" i="9" s="1"/>
  <c r="G279" i="9"/>
  <c r="W279" i="10" s="1"/>
  <c r="Z261" i="22"/>
  <c r="F263" i="9" s="1"/>
  <c r="AC261" i="22" s="1"/>
  <c r="AD261" i="22" s="1"/>
  <c r="Z185" i="22"/>
  <c r="F187" i="9" s="1"/>
  <c r="AC185" i="22" s="1"/>
  <c r="AD185" i="22" s="1"/>
  <c r="AA97" i="22"/>
  <c r="L99" i="9" s="1"/>
  <c r="M99" i="9" s="1"/>
  <c r="AA93" i="22"/>
  <c r="L95" i="9" s="1"/>
  <c r="M95" i="9" s="1"/>
  <c r="Z242" i="22"/>
  <c r="F244" i="9" s="1"/>
  <c r="AC242" i="22" s="1"/>
  <c r="AD242" i="22" s="1"/>
  <c r="AA185" i="22"/>
  <c r="L187" i="9" s="1"/>
  <c r="M187" i="9" s="1"/>
  <c r="AA253" i="22"/>
  <c r="L255" i="9" s="1"/>
  <c r="M255" i="9" s="1"/>
  <c r="Z124" i="22"/>
  <c r="F126" i="9" s="1"/>
  <c r="AC124" i="22" s="1"/>
  <c r="AD124" i="22" s="1"/>
  <c r="AA15" i="22"/>
  <c r="L17" i="9" s="1"/>
  <c r="M17" i="9" s="1"/>
  <c r="AA244" i="22"/>
  <c r="L246" i="9" s="1"/>
  <c r="M246" i="9" s="1"/>
  <c r="Z202" i="22"/>
  <c r="F204" i="9" s="1"/>
  <c r="G204" i="9" s="1"/>
  <c r="Z244" i="22"/>
  <c r="F246" i="9" s="1"/>
  <c r="AC244" i="22" s="1"/>
  <c r="AD244" i="22" s="1"/>
  <c r="AA151" i="22"/>
  <c r="L153" i="9" s="1"/>
  <c r="M153" i="9" s="1"/>
  <c r="Z24" i="22"/>
  <c r="F26" i="9" s="1"/>
  <c r="AC24" i="22" s="1"/>
  <c r="AD24" i="22" s="1"/>
  <c r="Z216" i="22"/>
  <c r="F218" i="9" s="1"/>
  <c r="AC216" i="22" s="1"/>
  <c r="AD216" i="22" s="1"/>
  <c r="Z151" i="22"/>
  <c r="F153" i="9" s="1"/>
  <c r="AC151" i="22" s="1"/>
  <c r="AD151" i="22" s="1"/>
  <c r="Z135" i="22"/>
  <c r="F137" i="9" s="1"/>
  <c r="AC135" i="22" s="1"/>
  <c r="AD135" i="22" s="1"/>
  <c r="AA193" i="22"/>
  <c r="L195" i="9" s="1"/>
  <c r="M195" i="9" s="1"/>
  <c r="Z193" i="22"/>
  <c r="F195" i="9" s="1"/>
  <c r="Z49" i="22"/>
  <c r="F51" i="9" s="1"/>
  <c r="AC49" i="22" s="1"/>
  <c r="AD49" i="22" s="1"/>
  <c r="Z52" i="22"/>
  <c r="F54" i="9" s="1"/>
  <c r="AC52" i="22" s="1"/>
  <c r="AD52" i="22" s="1"/>
  <c r="Z56" i="22"/>
  <c r="F58" i="9" s="1"/>
  <c r="AC56" i="22" s="1"/>
  <c r="AD56" i="22" s="1"/>
  <c r="AA128" i="22"/>
  <c r="L130" i="9" s="1"/>
  <c r="M130" i="9" s="1"/>
  <c r="AA141" i="22"/>
  <c r="L143" i="9" s="1"/>
  <c r="M143" i="9" s="1"/>
  <c r="Z233" i="22"/>
  <c r="F235" i="9" s="1"/>
  <c r="AC233" i="22" s="1"/>
  <c r="AD233" i="22" s="1"/>
  <c r="AA125" i="22"/>
  <c r="L127" i="9" s="1"/>
  <c r="Z141" i="22"/>
  <c r="F143" i="9" s="1"/>
  <c r="AC141" i="22" s="1"/>
  <c r="AD141" i="22" s="1"/>
  <c r="Z199" i="22"/>
  <c r="F201" i="9" s="1"/>
  <c r="G201" i="9" s="1"/>
  <c r="AA12" i="22"/>
  <c r="L14" i="9" s="1"/>
  <c r="M14" i="9" s="1"/>
  <c r="AA261" i="22"/>
  <c r="L263" i="9" s="1"/>
  <c r="M263" i="9" s="1"/>
  <c r="Z87" i="22"/>
  <c r="F89" i="9" s="1"/>
  <c r="G89" i="9" s="1"/>
  <c r="Z249" i="22"/>
  <c r="F251" i="9" s="1"/>
  <c r="AC249" i="22" s="1"/>
  <c r="AD249" i="22" s="1"/>
  <c r="Z48" i="22"/>
  <c r="F50" i="9" s="1"/>
  <c r="AC48" i="22" s="1"/>
  <c r="AD48" i="22" s="1"/>
  <c r="AA163" i="22"/>
  <c r="L165" i="9" s="1"/>
  <c r="M165" i="9" s="1"/>
  <c r="Z163" i="22"/>
  <c r="F165" i="9" s="1"/>
  <c r="G165" i="9" s="1"/>
  <c r="Z158" i="22"/>
  <c r="F160" i="9" s="1"/>
  <c r="AC158" i="22" s="1"/>
  <c r="AD158" i="22" s="1"/>
  <c r="AA57" i="22"/>
  <c r="L59" i="9" s="1"/>
  <c r="M59" i="9" s="1"/>
  <c r="AA56" i="22"/>
  <c r="L58" i="9" s="1"/>
  <c r="M58" i="9" s="1"/>
  <c r="Z120" i="22"/>
  <c r="F122" i="9" s="1"/>
  <c r="Z30" i="22"/>
  <c r="F32" i="9" s="1"/>
  <c r="G32" i="9" s="1"/>
  <c r="AA158" i="22"/>
  <c r="L160" i="9" s="1"/>
  <c r="M160" i="9" s="1"/>
  <c r="AA245" i="22"/>
  <c r="L247" i="9" s="1"/>
  <c r="M247" i="9" s="1"/>
  <c r="AA194" i="22"/>
  <c r="L196" i="9" s="1"/>
  <c r="M196" i="9" s="1"/>
  <c r="AA303" i="22"/>
  <c r="L306" i="9" s="1"/>
  <c r="M306" i="9" s="1"/>
  <c r="Z104" i="22"/>
  <c r="F106" i="9" s="1"/>
  <c r="AC104" i="22" s="1"/>
  <c r="AD104" i="22" s="1"/>
  <c r="Z234" i="22"/>
  <c r="F236" i="9" s="1"/>
  <c r="AC234" i="22" s="1"/>
  <c r="AD234" i="22" s="1"/>
  <c r="AA202" i="22"/>
  <c r="L204" i="9" s="1"/>
  <c r="M204" i="9" s="1"/>
  <c r="Z201" i="22"/>
  <c r="F203" i="9" s="1"/>
  <c r="AC201" i="22" s="1"/>
  <c r="AD201" i="22" s="1"/>
  <c r="Z39" i="22"/>
  <c r="F41" i="9" s="1"/>
  <c r="AC39" i="22" s="1"/>
  <c r="AD39" i="22" s="1"/>
  <c r="AA126" i="22"/>
  <c r="L128" i="9" s="1"/>
  <c r="M128" i="9" s="1"/>
  <c r="Z26" i="22"/>
  <c r="F28" i="9" s="1"/>
  <c r="G28" i="9" s="1"/>
  <c r="Z253" i="22"/>
  <c r="F255" i="9" s="1"/>
  <c r="AC253" i="22" s="1"/>
  <c r="AD253" i="22" s="1"/>
  <c r="AA266" i="22"/>
  <c r="L268" i="9" s="1"/>
  <c r="M268" i="9" s="1"/>
  <c r="AA39" i="22"/>
  <c r="L41" i="9" s="1"/>
  <c r="M41" i="9" s="1"/>
  <c r="AA109" i="22"/>
  <c r="L111" i="9" s="1"/>
  <c r="M111" i="9" s="1"/>
  <c r="AA249" i="22"/>
  <c r="L251" i="9" s="1"/>
  <c r="M251" i="9" s="1"/>
  <c r="Z238" i="22"/>
  <c r="F240" i="9" s="1"/>
  <c r="G240" i="9" s="1"/>
  <c r="AA199" i="22"/>
  <c r="L201" i="9" s="1"/>
  <c r="M201" i="9" s="1"/>
  <c r="AA177" i="22"/>
  <c r="L179" i="9" s="1"/>
  <c r="M179" i="9" s="1"/>
  <c r="Z61" i="22"/>
  <c r="F63" i="9" s="1"/>
  <c r="AC61" i="22" s="1"/>
  <c r="AD61" i="22" s="1"/>
  <c r="AA298" i="22"/>
  <c r="L300" i="9" s="1"/>
  <c r="M300" i="9" s="1"/>
  <c r="Z117" i="22"/>
  <c r="F119" i="9" s="1"/>
  <c r="AC117" i="22" s="1"/>
  <c r="AD117" i="22" s="1"/>
  <c r="AA104" i="22"/>
  <c r="L106" i="9" s="1"/>
  <c r="M106" i="9" s="1"/>
  <c r="Z29" i="22"/>
  <c r="F31" i="9" s="1"/>
  <c r="G31" i="9" s="1"/>
  <c r="AA20" i="22"/>
  <c r="L22" i="9" s="1"/>
  <c r="AA186" i="22"/>
  <c r="L188" i="9" s="1"/>
  <c r="M188" i="9" s="1"/>
  <c r="AA175" i="22"/>
  <c r="L177" i="9" s="1"/>
  <c r="M177" i="9" s="1"/>
  <c r="AA114" i="22"/>
  <c r="L116" i="9" s="1"/>
  <c r="M116" i="9" s="1"/>
  <c r="Z78" i="22"/>
  <c r="F80" i="9" s="1"/>
  <c r="AC78" i="22" s="1"/>
  <c r="AD78" i="22" s="1"/>
  <c r="Z245" i="22"/>
  <c r="F247" i="9" s="1"/>
  <c r="AC245" i="22" s="1"/>
  <c r="AD245" i="22" s="1"/>
  <c r="Z298" i="22"/>
  <c r="F300" i="9" s="1"/>
  <c r="G300" i="9" s="1"/>
  <c r="AA233" i="22"/>
  <c r="L235" i="9" s="1"/>
  <c r="M235" i="9" s="1"/>
  <c r="AA234" i="22"/>
  <c r="L236" i="9" s="1"/>
  <c r="M236" i="9" s="1"/>
  <c r="AA262" i="22"/>
  <c r="L264" i="9" s="1"/>
  <c r="M264" i="9" s="1"/>
  <c r="AA87" i="22"/>
  <c r="L89" i="9" s="1"/>
  <c r="M89" i="9" s="1"/>
  <c r="AA242" i="22"/>
  <c r="L244" i="9" s="1"/>
  <c r="M244" i="9" s="1"/>
  <c r="Z36" i="22"/>
  <c r="F38" i="9" s="1"/>
  <c r="AC36" i="22" s="1"/>
  <c r="AD36" i="22" s="1"/>
  <c r="Z177" i="22"/>
  <c r="F179" i="9" s="1"/>
  <c r="AC177" i="22" s="1"/>
  <c r="AD177" i="22" s="1"/>
  <c r="Z175" i="22"/>
  <c r="F177" i="9" s="1"/>
  <c r="G177" i="9" s="1"/>
  <c r="Z114" i="22"/>
  <c r="F116" i="9" s="1"/>
  <c r="AC114" i="22" s="1"/>
  <c r="AD114" i="22" s="1"/>
  <c r="Z127" i="22"/>
  <c r="F129" i="9" s="1"/>
  <c r="G129" i="9" s="1"/>
  <c r="Z300" i="22"/>
  <c r="F302" i="9" s="1"/>
  <c r="G302" i="9" s="1"/>
  <c r="Z15" i="22"/>
  <c r="F17" i="9" s="1"/>
  <c r="AC15" i="22" s="1"/>
  <c r="AD15" i="22" s="1"/>
  <c r="Z168" i="22"/>
  <c r="F170" i="9" s="1"/>
  <c r="AC168" i="22" s="1"/>
  <c r="AD168" i="22" s="1"/>
  <c r="AA216" i="22"/>
  <c r="L218" i="9" s="1"/>
  <c r="M218" i="9" s="1"/>
  <c r="AA288" i="22"/>
  <c r="L290" i="9" s="1"/>
  <c r="M290" i="9" s="1"/>
  <c r="Z106" i="22"/>
  <c r="F108" i="9" s="1"/>
  <c r="AC106" i="22" s="1"/>
  <c r="AD106" i="22" s="1"/>
  <c r="AA269" i="22"/>
  <c r="L271" i="9" s="1"/>
  <c r="M271" i="9" s="1"/>
  <c r="Z190" i="22"/>
  <c r="F192" i="9" s="1"/>
  <c r="AC190" i="22" s="1"/>
  <c r="AD190" i="22" s="1"/>
  <c r="AA63" i="22"/>
  <c r="L65" i="9" s="1"/>
  <c r="M65" i="9" s="1"/>
  <c r="AA30" i="22"/>
  <c r="L32" i="9" s="1"/>
  <c r="M32" i="9" s="1"/>
  <c r="AA282" i="22"/>
  <c r="L284" i="9" s="1"/>
  <c r="M284" i="9" s="1"/>
  <c r="Z288" i="22"/>
  <c r="F290" i="9" s="1"/>
  <c r="G290" i="9" s="1"/>
  <c r="AA127" i="22"/>
  <c r="L129" i="9" s="1"/>
  <c r="M129" i="9" s="1"/>
  <c r="Z269" i="22"/>
  <c r="F271" i="9" s="1"/>
  <c r="G271" i="9" s="1"/>
  <c r="Z31" i="22"/>
  <c r="F33" i="9" s="1"/>
  <c r="AC31" i="22" s="1"/>
  <c r="AD31" i="22" s="1"/>
  <c r="AA173" i="22"/>
  <c r="L175" i="9" s="1"/>
  <c r="M175" i="9" s="1"/>
  <c r="Z128" i="22"/>
  <c r="F130" i="9" s="1"/>
  <c r="AC128" i="22" s="1"/>
  <c r="AD128" i="22" s="1"/>
  <c r="Z91" i="22"/>
  <c r="F93" i="9" s="1"/>
  <c r="G93" i="9" s="1"/>
  <c r="AA195" i="22"/>
  <c r="L197" i="9" s="1"/>
  <c r="M197" i="9" s="1"/>
  <c r="Z282" i="22"/>
  <c r="F284" i="9" s="1"/>
  <c r="AC282" i="22" s="1"/>
  <c r="AD282" i="22" s="1"/>
  <c r="Z65" i="22"/>
  <c r="F67" i="9" s="1"/>
  <c r="AC65" i="22" s="1"/>
  <c r="AD65" i="22" s="1"/>
  <c r="AA279" i="22"/>
  <c r="L281" i="9" s="1"/>
  <c r="M281" i="9" s="1"/>
  <c r="Z172" i="22"/>
  <c r="F174" i="9" s="1"/>
  <c r="G174" i="9" s="1"/>
  <c r="Z173" i="22"/>
  <c r="F175" i="9" s="1"/>
  <c r="AC173" i="22" s="1"/>
  <c r="AD173" i="22" s="1"/>
  <c r="Z125" i="22"/>
  <c r="F127" i="9" s="1"/>
  <c r="G127" i="9" s="1"/>
  <c r="Z191" i="22"/>
  <c r="F193" i="9" s="1"/>
  <c r="G193" i="9" s="1"/>
  <c r="W193" i="10" s="1"/>
  <c r="Z279" i="22"/>
  <c r="F281" i="9" s="1"/>
  <c r="AC279" i="22" s="1"/>
  <c r="AD279" i="22" s="1"/>
  <c r="AA106" i="22"/>
  <c r="L108" i="9" s="1"/>
  <c r="M108" i="9" s="1"/>
  <c r="AA65" i="22"/>
  <c r="L67" i="9" s="1"/>
  <c r="M67" i="9" s="1"/>
  <c r="U81" i="10"/>
  <c r="G81" i="10" s="1"/>
  <c r="AA79" i="22"/>
  <c r="L81" i="9" s="1"/>
  <c r="M81" i="9" s="1"/>
  <c r="G152" i="10"/>
  <c r="Z150" i="22"/>
  <c r="F152" i="9" s="1"/>
  <c r="AA150" i="22"/>
  <c r="L152" i="9" s="1"/>
  <c r="M152" i="9" s="1"/>
  <c r="G120" i="10"/>
  <c r="Z118" i="22"/>
  <c r="F120" i="9" s="1"/>
  <c r="AA118" i="22"/>
  <c r="L120" i="9" s="1"/>
  <c r="M120" i="9" s="1"/>
  <c r="G88" i="10"/>
  <c r="Z86" i="22"/>
  <c r="F88" i="9" s="1"/>
  <c r="G155" i="10"/>
  <c r="Z153" i="22"/>
  <c r="F155" i="9" s="1"/>
  <c r="Z164" i="22"/>
  <c r="F166" i="9" s="1"/>
  <c r="AA80" i="22"/>
  <c r="L82" i="9" s="1"/>
  <c r="M82" i="9" s="1"/>
  <c r="AC160" i="22"/>
  <c r="AD160" i="22" s="1"/>
  <c r="G162" i="9"/>
  <c r="G198" i="10"/>
  <c r="AA196" i="22"/>
  <c r="L198" i="9" s="1"/>
  <c r="M198" i="9" s="1"/>
  <c r="Z196" i="22"/>
  <c r="F198" i="9" s="1"/>
  <c r="G92" i="10"/>
  <c r="Z90" i="22"/>
  <c r="F92" i="9" s="1"/>
  <c r="AA90" i="22"/>
  <c r="L92" i="9" s="1"/>
  <c r="M92" i="9" s="1"/>
  <c r="AA28" i="22"/>
  <c r="L30" i="9" s="1"/>
  <c r="M30" i="9" s="1"/>
  <c r="AA60" i="22"/>
  <c r="L62" i="9" s="1"/>
  <c r="M62" i="9" s="1"/>
  <c r="AA201" i="22"/>
  <c r="L203" i="9" s="1"/>
  <c r="M203" i="9" s="1"/>
  <c r="AA84" i="22"/>
  <c r="L86" i="9" s="1"/>
  <c r="M86" i="9" s="1"/>
  <c r="U252" i="10"/>
  <c r="G252" i="10" s="1"/>
  <c r="Z250" i="22"/>
  <c r="F252" i="9" s="1"/>
  <c r="AA250" i="22"/>
  <c r="L252" i="9" s="1"/>
  <c r="M252" i="9" s="1"/>
  <c r="U147" i="10"/>
  <c r="G147" i="10" s="1"/>
  <c r="Z145" i="22"/>
  <c r="F147" i="9" s="1"/>
  <c r="U151" i="10"/>
  <c r="G151" i="10" s="1"/>
  <c r="Z149" i="22"/>
  <c r="F151" i="9" s="1"/>
  <c r="G216" i="10"/>
  <c r="AA214" i="22"/>
  <c r="L216" i="9" s="1"/>
  <c r="M216" i="9" s="1"/>
  <c r="AA157" i="22"/>
  <c r="L159" i="9" s="1"/>
  <c r="M159" i="9" s="1"/>
  <c r="Z162" i="22"/>
  <c r="F164" i="9" s="1"/>
  <c r="AC167" i="22"/>
  <c r="AD167" i="22" s="1"/>
  <c r="G169" i="9"/>
  <c r="W169" i="10" s="1"/>
  <c r="Z102" i="22"/>
  <c r="F104" i="9" s="1"/>
  <c r="G254" i="10"/>
  <c r="Z252" i="22"/>
  <c r="F254" i="9" s="1"/>
  <c r="U256" i="10"/>
  <c r="G256" i="10" s="1"/>
  <c r="Z254" i="22"/>
  <c r="F256" i="9" s="1"/>
  <c r="AA254" i="22"/>
  <c r="L256" i="9" s="1"/>
  <c r="M256" i="9" s="1"/>
  <c r="U121" i="10"/>
  <c r="G121" i="10" s="1"/>
  <c r="Z119" i="22"/>
  <c r="F121" i="9" s="1"/>
  <c r="AA119" i="22"/>
  <c r="L121" i="9" s="1"/>
  <c r="M121" i="9" s="1"/>
  <c r="Z99" i="22"/>
  <c r="F101" i="9" s="1"/>
  <c r="Z258" i="22"/>
  <c r="F260" i="9" s="1"/>
  <c r="AA89" i="22"/>
  <c r="L91" i="9" s="1"/>
  <c r="M91" i="9" s="1"/>
  <c r="Z246" i="22"/>
  <c r="F248" i="9" s="1"/>
  <c r="Z192" i="22"/>
  <c r="F194" i="9" s="1"/>
  <c r="AA83" i="22"/>
  <c r="L85" i="9" s="1"/>
  <c r="M85" i="9" s="1"/>
  <c r="Z55" i="22"/>
  <c r="F57" i="9" s="1"/>
  <c r="AA155" i="22"/>
  <c r="L157" i="9" s="1"/>
  <c r="M157" i="9" s="1"/>
  <c r="AA302" i="22"/>
  <c r="L304" i="9" s="1"/>
  <c r="M304" i="9" s="1"/>
  <c r="Z41" i="22"/>
  <c r="F43" i="9" s="1"/>
  <c r="AA275" i="22"/>
  <c r="L277" i="9" s="1"/>
  <c r="M277" i="9" s="1"/>
  <c r="AA116" i="22"/>
  <c r="L118" i="9" s="1"/>
  <c r="M118" i="9" s="1"/>
  <c r="Z154" i="22"/>
  <c r="F156" i="9" s="1"/>
  <c r="U211" i="10"/>
  <c r="G211" i="10" s="1"/>
  <c r="Z208" i="22"/>
  <c r="F211" i="9" s="1"/>
  <c r="AA208" i="22"/>
  <c r="L211" i="9" s="1"/>
  <c r="M211" i="9" s="1"/>
  <c r="G115" i="10"/>
  <c r="Z113" i="22"/>
  <c r="F115" i="9" s="1"/>
  <c r="AA113" i="22"/>
  <c r="L115" i="9" s="1"/>
  <c r="M115" i="9" s="1"/>
  <c r="G98" i="10"/>
  <c r="Z96" i="22"/>
  <c r="F98" i="9" s="1"/>
  <c r="AA96" i="22"/>
  <c r="L98" i="9" s="1"/>
  <c r="M98" i="9" s="1"/>
  <c r="G150" i="10"/>
  <c r="Z148" i="22"/>
  <c r="F150" i="9" s="1"/>
  <c r="AA148" i="22"/>
  <c r="L150" i="9" s="1"/>
  <c r="M150" i="9" s="1"/>
  <c r="Z53" i="22"/>
  <c r="F55" i="9" s="1"/>
  <c r="G258" i="10"/>
  <c r="Z256" i="22"/>
  <c r="F258" i="9" s="1"/>
  <c r="AA256" i="22"/>
  <c r="L258" i="9" s="1"/>
  <c r="M258" i="9" s="1"/>
  <c r="G199" i="10"/>
  <c r="Z197" i="22"/>
  <c r="F199" i="9" s="1"/>
  <c r="AA197" i="22"/>
  <c r="L199" i="9" s="1"/>
  <c r="M199" i="9" s="1"/>
  <c r="Z21" i="22"/>
  <c r="F23" i="9" s="1"/>
  <c r="AC43" i="22"/>
  <c r="AD43" i="22" s="1"/>
  <c r="G45" i="9"/>
  <c r="U87" i="10"/>
  <c r="G87" i="10" s="1"/>
  <c r="AA85" i="22"/>
  <c r="L87" i="9" s="1"/>
  <c r="M87" i="9" s="1"/>
  <c r="Z85" i="22"/>
  <c r="F87" i="9" s="1"/>
  <c r="G182" i="10"/>
  <c r="AA180" i="22"/>
  <c r="L182" i="9" s="1"/>
  <c r="M182" i="9" s="1"/>
  <c r="U239" i="10"/>
  <c r="G239" i="10" s="1"/>
  <c r="AA237" i="22"/>
  <c r="L239" i="9" s="1"/>
  <c r="M239" i="9" s="1"/>
  <c r="G285" i="10"/>
  <c r="Z283" i="22"/>
  <c r="F285" i="9" s="1"/>
  <c r="AA283" i="22"/>
  <c r="L285" i="9" s="1"/>
  <c r="M285" i="9" s="1"/>
  <c r="G16" i="10"/>
  <c r="Z14" i="22"/>
  <c r="F16" i="9" s="1"/>
  <c r="AA14" i="22"/>
  <c r="L16" i="9" s="1"/>
  <c r="M16" i="9" s="1"/>
  <c r="U140" i="10"/>
  <c r="G140" i="10" s="1"/>
  <c r="Z138" i="22"/>
  <c r="F140" i="9" s="1"/>
  <c r="AA138" i="22"/>
  <c r="L140" i="9" s="1"/>
  <c r="M140" i="9" s="1"/>
  <c r="G135" i="10"/>
  <c r="Z133" i="22"/>
  <c r="F135" i="9" s="1"/>
  <c r="AC33" i="22"/>
  <c r="AD33" i="22" s="1"/>
  <c r="G35" i="9"/>
  <c r="W35" i="10" s="1"/>
  <c r="AC143" i="22"/>
  <c r="AD143" i="22" s="1"/>
  <c r="G145" i="9"/>
  <c r="W145" i="10" s="1"/>
  <c r="AA308" i="22"/>
  <c r="L310" i="9" s="1"/>
  <c r="M310" i="9" s="1"/>
  <c r="AA239" i="22"/>
  <c r="L241" i="9" s="1"/>
  <c r="M241" i="9" s="1"/>
  <c r="Z308" i="22"/>
  <c r="F310" i="9" s="1"/>
  <c r="AC221" i="22"/>
  <c r="AD221" i="22" s="1"/>
  <c r="G223" i="9"/>
  <c r="W223" i="10" s="1"/>
  <c r="AA164" i="22"/>
  <c r="L166" i="9" s="1"/>
  <c r="M166" i="9" s="1"/>
  <c r="AA29" i="22"/>
  <c r="L31" i="9" s="1"/>
  <c r="M31" i="9" s="1"/>
  <c r="AA172" i="22"/>
  <c r="L174" i="9" s="1"/>
  <c r="M174" i="9" s="1"/>
  <c r="Z72" i="22"/>
  <c r="F74" i="9" s="1"/>
  <c r="U308" i="10"/>
  <c r="G308" i="10" s="1"/>
  <c r="AA305" i="22"/>
  <c r="L308" i="9" s="1"/>
  <c r="M308" i="9" s="1"/>
  <c r="Z305" i="22"/>
  <c r="F308" i="9" s="1"/>
  <c r="AA92" i="22"/>
  <c r="L94" i="9" s="1"/>
  <c r="M94" i="9" s="1"/>
  <c r="Z84" i="22"/>
  <c r="F86" i="9" s="1"/>
  <c r="U266" i="10"/>
  <c r="G266" i="10" s="1"/>
  <c r="AA264" i="22"/>
  <c r="L266" i="9" s="1"/>
  <c r="M266" i="9" s="1"/>
  <c r="Z264" i="22"/>
  <c r="F266" i="9" s="1"/>
  <c r="G309" i="10"/>
  <c r="Z306" i="22"/>
  <c r="F309" i="9" s="1"/>
  <c r="AA306" i="22"/>
  <c r="L309" i="9" s="1"/>
  <c r="M309" i="9" s="1"/>
  <c r="G154" i="10"/>
  <c r="AA152" i="22"/>
  <c r="L154" i="9" s="1"/>
  <c r="M154" i="9" s="1"/>
  <c r="Z152" i="22"/>
  <c r="F154" i="9" s="1"/>
  <c r="U90" i="10"/>
  <c r="G90" i="10" s="1"/>
  <c r="AA88" i="22"/>
  <c r="L90" i="9" s="1"/>
  <c r="M90" i="9" s="1"/>
  <c r="Z88" i="22"/>
  <c r="F90" i="9" s="1"/>
  <c r="Z105" i="22"/>
  <c r="F107" i="9" s="1"/>
  <c r="Z157" i="22"/>
  <c r="F159" i="9" s="1"/>
  <c r="AA94" i="22"/>
  <c r="L96" i="9" s="1"/>
  <c r="M96" i="9" s="1"/>
  <c r="AA31" i="22"/>
  <c r="L33" i="9" s="1"/>
  <c r="M33" i="9" s="1"/>
  <c r="AA300" i="22"/>
  <c r="L302" i="9" s="1"/>
  <c r="M302" i="9" s="1"/>
  <c r="Z76" i="22"/>
  <c r="F78" i="9" s="1"/>
  <c r="AA246" i="22"/>
  <c r="L248" i="9" s="1"/>
  <c r="M248" i="9" s="1"/>
  <c r="AA258" i="22"/>
  <c r="L260" i="9" s="1"/>
  <c r="M260" i="9" s="1"/>
  <c r="AA206" i="22"/>
  <c r="L209" i="9" s="1"/>
  <c r="M209" i="9" s="1"/>
  <c r="Z20" i="22"/>
  <c r="F22" i="9" s="1"/>
  <c r="G46" i="10"/>
  <c r="AA44" i="22"/>
  <c r="L46" i="9" s="1"/>
  <c r="M46" i="9" s="1"/>
  <c r="Z44" i="22"/>
  <c r="F46" i="9" s="1"/>
  <c r="U226" i="10"/>
  <c r="G226" i="10" s="1"/>
  <c r="Z224" i="22"/>
  <c r="F226" i="9" s="1"/>
  <c r="AA224" i="22"/>
  <c r="L226" i="9" s="1"/>
  <c r="M226" i="9" s="1"/>
  <c r="U275" i="10"/>
  <c r="G275" i="10" s="1"/>
  <c r="AA273" i="22"/>
  <c r="L275" i="9" s="1"/>
  <c r="M275" i="9" s="1"/>
  <c r="Z273" i="22"/>
  <c r="F275" i="9" s="1"/>
  <c r="Z46" i="22"/>
  <c r="F48" i="9" s="1"/>
  <c r="AA111" i="22"/>
  <c r="L113" i="9" s="1"/>
  <c r="M113" i="9" s="1"/>
  <c r="AA299" i="22"/>
  <c r="L301" i="9" s="1"/>
  <c r="M301" i="9" s="1"/>
  <c r="AC222" i="22"/>
  <c r="AD222" i="22" s="1"/>
  <c r="G224" i="9"/>
  <c r="W224" i="10" s="1"/>
  <c r="AA260" i="22"/>
  <c r="L262" i="9" s="1"/>
  <c r="M262" i="9" s="1"/>
  <c r="Z302" i="22"/>
  <c r="F304" i="9" s="1"/>
  <c r="Z156" i="22"/>
  <c r="F158" i="9" s="1"/>
  <c r="Z303" i="22"/>
  <c r="F306" i="9" s="1"/>
  <c r="AA58" i="22"/>
  <c r="L60" i="9" s="1"/>
  <c r="M60" i="9" s="1"/>
  <c r="AA55" i="22"/>
  <c r="L57" i="9" s="1"/>
  <c r="M57" i="9" s="1"/>
  <c r="Z214" i="22"/>
  <c r="F216" i="9" s="1"/>
  <c r="Z198" i="22"/>
  <c r="F200" i="9" s="1"/>
  <c r="G286" i="10"/>
  <c r="Z284" i="22"/>
  <c r="F286" i="9" s="1"/>
  <c r="AA284" i="22"/>
  <c r="L286" i="9" s="1"/>
  <c r="M286" i="9" s="1"/>
  <c r="U312" i="10"/>
  <c r="AA310" i="22"/>
  <c r="L312" i="9" s="1"/>
  <c r="M312" i="9" s="1"/>
  <c r="Z310" i="22"/>
  <c r="F312" i="9" s="1"/>
  <c r="U25" i="10"/>
  <c r="G25" i="10" s="1"/>
  <c r="Z23" i="22"/>
  <c r="F25" i="9" s="1"/>
  <c r="AA23" i="22"/>
  <c r="L25" i="9" s="1"/>
  <c r="M25" i="9" s="1"/>
  <c r="G237" i="10"/>
  <c r="AA235" i="22"/>
  <c r="L237" i="9" s="1"/>
  <c r="M237" i="9" s="1"/>
  <c r="Z235" i="22"/>
  <c r="F237" i="9" s="1"/>
  <c r="AC34" i="22"/>
  <c r="AD34" i="22" s="1"/>
  <c r="G36" i="9"/>
  <c r="W36" i="10" s="1"/>
  <c r="G176" i="10"/>
  <c r="Z174" i="22"/>
  <c r="F176" i="9" s="1"/>
  <c r="AA174" i="22"/>
  <c r="L176" i="9" s="1"/>
  <c r="M176" i="9" s="1"/>
  <c r="G292" i="10"/>
  <c r="Z290" i="22"/>
  <c r="F292" i="9" s="1"/>
  <c r="AA290" i="22"/>
  <c r="L292" i="9" s="1"/>
  <c r="M292" i="9" s="1"/>
  <c r="AA268" i="22"/>
  <c r="L270" i="9" s="1"/>
  <c r="M270" i="9" s="1"/>
  <c r="U228" i="10"/>
  <c r="G228" i="10" s="1"/>
  <c r="Z226" i="22"/>
  <c r="F228" i="9" s="1"/>
  <c r="AA226" i="22"/>
  <c r="L228" i="9" s="1"/>
  <c r="M228" i="9" s="1"/>
  <c r="G253" i="10"/>
  <c r="Z251" i="22"/>
  <c r="F253" i="9" s="1"/>
  <c r="AA251" i="22"/>
  <c r="L253" i="9" s="1"/>
  <c r="M253" i="9" s="1"/>
  <c r="U205" i="10"/>
  <c r="G205" i="10" s="1"/>
  <c r="AA203" i="22"/>
  <c r="L205" i="9" s="1"/>
  <c r="M205" i="9" s="1"/>
  <c r="Z203" i="22"/>
  <c r="F205" i="9" s="1"/>
  <c r="G225" i="10"/>
  <c r="AA223" i="22"/>
  <c r="L225" i="9" s="1"/>
  <c r="M225" i="9" s="1"/>
  <c r="U68" i="10"/>
  <c r="G68" i="10" s="1"/>
  <c r="Z66" i="22"/>
  <c r="F68" i="9" s="1"/>
  <c r="AA66" i="22"/>
  <c r="L68" i="9" s="1"/>
  <c r="M68" i="9" s="1"/>
  <c r="U189" i="10"/>
  <c r="G189" i="10" s="1"/>
  <c r="AA187" i="22"/>
  <c r="L189" i="9" s="1"/>
  <c r="M189" i="9" s="1"/>
  <c r="Z187" i="22"/>
  <c r="F189" i="9" s="1"/>
  <c r="Z206" i="22"/>
  <c r="F209" i="9" s="1"/>
  <c r="AA190" i="22"/>
  <c r="L192" i="9" s="1"/>
  <c r="M192" i="9" s="1"/>
  <c r="Z217" i="22"/>
  <c r="F219" i="9" s="1"/>
  <c r="Z111" i="22"/>
  <c r="F113" i="9" s="1"/>
  <c r="AC19" i="22"/>
  <c r="AD19" i="22" s="1"/>
  <c r="G21" i="9"/>
  <c r="Z116" i="22"/>
  <c r="F118" i="9" s="1"/>
  <c r="AA192" i="22"/>
  <c r="L194" i="9" s="1"/>
  <c r="M194" i="9" s="1"/>
  <c r="AA71" i="22"/>
  <c r="L73" i="9" s="1"/>
  <c r="M73" i="9" s="1"/>
  <c r="Z58" i="22"/>
  <c r="F60" i="9" s="1"/>
  <c r="AA252" i="22"/>
  <c r="L254" i="9" s="1"/>
  <c r="M254" i="9" s="1"/>
  <c r="G249" i="10"/>
  <c r="Z247" i="22"/>
  <c r="F249" i="9" s="1"/>
  <c r="AA247" i="22"/>
  <c r="L249" i="9" s="1"/>
  <c r="M249" i="9" s="1"/>
  <c r="G124" i="10"/>
  <c r="AA122" i="22"/>
  <c r="L124" i="9" s="1"/>
  <c r="M124" i="9" s="1"/>
  <c r="Z122" i="22"/>
  <c r="F124" i="9" s="1"/>
  <c r="U269" i="10"/>
  <c r="G269" i="10" s="1"/>
  <c r="AA267" i="22"/>
  <c r="L269" i="9" s="1"/>
  <c r="M269" i="9" s="1"/>
  <c r="Z267" i="22"/>
  <c r="F269" i="9" s="1"/>
  <c r="G272" i="10"/>
  <c r="Z270" i="22"/>
  <c r="F272" i="9" s="1"/>
  <c r="AA270" i="22"/>
  <c r="L272" i="9" s="1"/>
  <c r="M272" i="9" s="1"/>
  <c r="U282" i="10"/>
  <c r="G282" i="10" s="1"/>
  <c r="Z280" i="22"/>
  <c r="F282" i="9" s="1"/>
  <c r="AA280" i="22"/>
  <c r="L282" i="9" s="1"/>
  <c r="M282" i="9" s="1"/>
  <c r="U42" i="10"/>
  <c r="G42" i="10" s="1"/>
  <c r="AA40" i="22"/>
  <c r="L42" i="9" s="1"/>
  <c r="M42" i="9" s="1"/>
  <c r="G84" i="10"/>
  <c r="AA82" i="22"/>
  <c r="L84" i="9" s="1"/>
  <c r="M84" i="9" s="1"/>
  <c r="Z82" i="22"/>
  <c r="F84" i="9" s="1"/>
  <c r="G178" i="10"/>
  <c r="Z176" i="22"/>
  <c r="F178" i="9" s="1"/>
  <c r="AA176" i="22"/>
  <c r="L178" i="9" s="1"/>
  <c r="M178" i="9" s="1"/>
  <c r="Z239" i="22"/>
  <c r="F241" i="9" s="1"/>
  <c r="G257" i="10"/>
  <c r="AA255" i="22"/>
  <c r="L257" i="9" s="1"/>
  <c r="M257" i="9" s="1"/>
  <c r="Z255" i="22"/>
  <c r="F257" i="9" s="1"/>
  <c r="AC45" i="22"/>
  <c r="AD45" i="22" s="1"/>
  <c r="G47" i="9"/>
  <c r="AA292" i="22"/>
  <c r="L294" i="9" s="1"/>
  <c r="M294" i="9" s="1"/>
  <c r="AC209" i="22"/>
  <c r="AD209" i="22" s="1"/>
  <c r="G207" i="9"/>
  <c r="W207" i="10" s="1"/>
  <c r="Z262" i="22"/>
  <c r="F264" i="9" s="1"/>
  <c r="Z80" i="22"/>
  <c r="F82" i="9" s="1"/>
  <c r="AC32" i="22"/>
  <c r="AD32" i="22" s="1"/>
  <c r="G34" i="9"/>
  <c r="Z28" i="22"/>
  <c r="F30" i="9" s="1"/>
  <c r="AA48" i="22"/>
  <c r="L50" i="9" s="1"/>
  <c r="M50" i="9" s="1"/>
  <c r="Z292" i="22"/>
  <c r="F294" i="9" s="1"/>
  <c r="Z131" i="22"/>
  <c r="F133" i="9" s="1"/>
  <c r="AA134" i="22"/>
  <c r="L136" i="9" s="1"/>
  <c r="M136" i="9" s="1"/>
  <c r="AC241" i="22"/>
  <c r="AD241" i="22" s="1"/>
  <c r="G243" i="9"/>
  <c r="W243" i="10" s="1"/>
  <c r="Z194" i="22"/>
  <c r="F196" i="9" s="1"/>
  <c r="Z146" i="22"/>
  <c r="F148" i="9" s="1"/>
  <c r="U250" i="10"/>
  <c r="G250" i="10" s="1"/>
  <c r="Z248" i="22"/>
  <c r="F250" i="9" s="1"/>
  <c r="AA248" i="22"/>
  <c r="L250" i="9" s="1"/>
  <c r="M250" i="9" s="1"/>
  <c r="U287" i="10"/>
  <c r="G287" i="10" s="1"/>
  <c r="AA285" i="22"/>
  <c r="L287" i="9" s="1"/>
  <c r="M287" i="9" s="1"/>
  <c r="Z285" i="22"/>
  <c r="F287" i="9" s="1"/>
  <c r="U215" i="10"/>
  <c r="G215" i="10" s="1"/>
  <c r="Z213" i="22"/>
  <c r="F215" i="9" s="1"/>
  <c r="AA213" i="22"/>
  <c r="L215" i="9" s="1"/>
  <c r="M215" i="9" s="1"/>
  <c r="Z268" i="22"/>
  <c r="F270" i="9" s="1"/>
  <c r="Z147" i="22"/>
  <c r="F149" i="9" s="1"/>
  <c r="AA77" i="22"/>
  <c r="L79" i="9" s="1"/>
  <c r="M79" i="9" s="1"/>
  <c r="AA232" i="22"/>
  <c r="L234" i="9" s="1"/>
  <c r="M234" i="9" s="1"/>
  <c r="AA147" i="22"/>
  <c r="L149" i="9" s="1"/>
  <c r="M149" i="9" s="1"/>
  <c r="G265" i="10"/>
  <c r="AA263" i="22"/>
  <c r="L265" i="9" s="1"/>
  <c r="M265" i="9" s="1"/>
  <c r="Z263" i="22"/>
  <c r="F265" i="9" s="1"/>
  <c r="Z260" i="22"/>
  <c r="F262" i="9" s="1"/>
  <c r="Z275" i="22"/>
  <c r="F277" i="9" s="1"/>
  <c r="Z18" i="22"/>
  <c r="F20" i="9" s="1"/>
  <c r="AA117" i="22"/>
  <c r="L119" i="9" s="1"/>
  <c r="M119" i="9" s="1"/>
  <c r="AA170" i="22"/>
  <c r="L172" i="9" s="1"/>
  <c r="M172" i="9" s="1"/>
  <c r="AA91" i="22"/>
  <c r="L93" i="9" s="1"/>
  <c r="M93" i="9" s="1"/>
  <c r="Z79" i="22"/>
  <c r="F81" i="9" s="1"/>
  <c r="AA153" i="22"/>
  <c r="L155" i="9" s="1"/>
  <c r="M155" i="9" s="1"/>
  <c r="G97" i="10"/>
  <c r="Z95" i="22"/>
  <c r="F97" i="9" s="1"/>
  <c r="AA95" i="22"/>
  <c r="L97" i="9" s="1"/>
  <c r="M97" i="9" s="1"/>
  <c r="U117" i="10"/>
  <c r="G117" i="10" s="1"/>
  <c r="AA115" i="22"/>
  <c r="L117" i="9" s="1"/>
  <c r="M117" i="9" s="1"/>
  <c r="Z115" i="22"/>
  <c r="F117" i="9" s="1"/>
  <c r="U138" i="10"/>
  <c r="G138" i="10" s="1"/>
  <c r="Z136" i="22"/>
  <c r="F138" i="9" s="1"/>
  <c r="AA136" i="22"/>
  <c r="L138" i="9" s="1"/>
  <c r="M138" i="9" s="1"/>
  <c r="G141" i="10"/>
  <c r="Z139" i="22"/>
  <c r="F141" i="9" s="1"/>
  <c r="AA139" i="22"/>
  <c r="L141" i="9" s="1"/>
  <c r="M141" i="9" s="1"/>
  <c r="U278" i="10"/>
  <c r="G278" i="10" s="1"/>
  <c r="AA276" i="22"/>
  <c r="L278" i="9" s="1"/>
  <c r="M278" i="9" s="1"/>
  <c r="Z276" i="22"/>
  <c r="F278" i="9" s="1"/>
  <c r="AC205" i="22"/>
  <c r="AD205" i="22" s="1"/>
  <c r="G208" i="9"/>
  <c r="W208" i="10" s="1"/>
  <c r="AA112" i="22"/>
  <c r="L114" i="9" s="1"/>
  <c r="M114" i="9" s="1"/>
  <c r="G19" i="10"/>
  <c r="Z17" i="22"/>
  <c r="F19" i="9" s="1"/>
  <c r="AA17" i="22"/>
  <c r="L19" i="9" s="1"/>
  <c r="M19" i="9" s="1"/>
  <c r="U190" i="10"/>
  <c r="G190" i="10" s="1"/>
  <c r="AA188" i="22"/>
  <c r="L190" i="9" s="1"/>
  <c r="M190" i="9" s="1"/>
  <c r="Z188" i="22"/>
  <c r="F190" i="9" s="1"/>
  <c r="G167" i="10"/>
  <c r="Z165" i="22"/>
  <c r="F167" i="9" s="1"/>
  <c r="AA297" i="22"/>
  <c r="L299" i="9" s="1"/>
  <c r="M299" i="9" s="1"/>
  <c r="AA78" i="22"/>
  <c r="L80" i="9" s="1"/>
  <c r="M80" i="9" s="1"/>
  <c r="Z180" i="22"/>
  <c r="F182" i="9" s="1"/>
  <c r="G186" i="10"/>
  <c r="AA184" i="22"/>
  <c r="L186" i="9" s="1"/>
  <c r="M186" i="9" s="1"/>
  <c r="Z184" i="22"/>
  <c r="F186" i="9" s="1"/>
  <c r="U181" i="10"/>
  <c r="G181" i="10" s="1"/>
  <c r="Z179" i="22"/>
  <c r="F181" i="9" s="1"/>
  <c r="AA179" i="22"/>
  <c r="L181" i="9" s="1"/>
  <c r="M181" i="9" s="1"/>
  <c r="AC304" i="22"/>
  <c r="AD304" i="22" s="1"/>
  <c r="G307" i="9"/>
  <c r="W307" i="10" s="1"/>
  <c r="AC68" i="22"/>
  <c r="AD68" i="22" s="1"/>
  <c r="G70" i="9"/>
  <c r="W70" i="10" s="1"/>
  <c r="AA67" i="22"/>
  <c r="L69" i="9" s="1"/>
  <c r="M69" i="9" s="1"/>
  <c r="U261" i="10"/>
  <c r="G261" i="10" s="1"/>
  <c r="AA259" i="22"/>
  <c r="L261" i="9" s="1"/>
  <c r="M261" i="9" s="1"/>
  <c r="AC59" i="22"/>
  <c r="AD59" i="22" s="1"/>
  <c r="G61" i="9"/>
  <c r="W61" i="10" s="1"/>
  <c r="G72" i="10"/>
  <c r="AA70" i="22"/>
  <c r="L72" i="9" s="1"/>
  <c r="M72" i="9" s="1"/>
  <c r="Z70" i="22"/>
  <c r="F72" i="9" s="1"/>
  <c r="G52" i="10"/>
  <c r="Z50" i="22"/>
  <c r="F52" i="9" s="1"/>
  <c r="AA50" i="22"/>
  <c r="L52" i="9" s="1"/>
  <c r="M52" i="9" s="1"/>
  <c r="AA43" i="22"/>
  <c r="L45" i="9" s="1"/>
  <c r="M45" i="9" s="1"/>
  <c r="G45" i="10"/>
  <c r="U210" i="10"/>
  <c r="G210" i="10" s="1"/>
  <c r="Z207" i="22"/>
  <c r="F210" i="9" s="1"/>
  <c r="AA51" i="22"/>
  <c r="L53" i="9" s="1"/>
  <c r="M53" i="9" s="1"/>
  <c r="AA108" i="22"/>
  <c r="L110" i="9" s="1"/>
  <c r="M110" i="9" s="1"/>
  <c r="Z94" i="22"/>
  <c r="F96" i="9" s="1"/>
  <c r="Z83" i="22"/>
  <c r="F85" i="9" s="1"/>
  <c r="AA52" i="22"/>
  <c r="L54" i="9" s="1"/>
  <c r="M54" i="9" s="1"/>
  <c r="Z272" i="22"/>
  <c r="F274" i="9" s="1"/>
  <c r="Z232" i="22"/>
  <c r="F234" i="9" s="1"/>
  <c r="AA145" i="22"/>
  <c r="L147" i="9" s="1"/>
  <c r="M147" i="9" s="1"/>
  <c r="Z223" i="22"/>
  <c r="F225" i="9" s="1"/>
  <c r="AA181" i="22"/>
  <c r="L183" i="9" s="1"/>
  <c r="M183" i="9" s="1"/>
  <c r="AA18" i="22"/>
  <c r="L20" i="9" s="1"/>
  <c r="M20" i="9" s="1"/>
  <c r="AA38" i="22"/>
  <c r="L40" i="9" s="1"/>
  <c r="M40" i="9" s="1"/>
  <c r="Z170" i="22"/>
  <c r="F172" i="9" s="1"/>
  <c r="AA133" i="22"/>
  <c r="L135" i="9" s="1"/>
  <c r="M135" i="9" s="1"/>
  <c r="Z237" i="22"/>
  <c r="F239" i="9" s="1"/>
  <c r="Z100" i="22"/>
  <c r="F102" i="9" s="1"/>
  <c r="AA227" i="22"/>
  <c r="L229" i="9" s="1"/>
  <c r="M229" i="9" s="1"/>
  <c r="AC219" i="22"/>
  <c r="AD219" i="22" s="1"/>
  <c r="G221" i="9"/>
  <c r="W221" i="10" s="1"/>
  <c r="G222" i="10"/>
  <c r="Z220" i="22"/>
  <c r="F222" i="9" s="1"/>
  <c r="AA220" i="22"/>
  <c r="L222" i="9" s="1"/>
  <c r="M222" i="9" s="1"/>
  <c r="Z121" i="22"/>
  <c r="F123" i="9" s="1"/>
  <c r="G220" i="10"/>
  <c r="Z218" i="22"/>
  <c r="F220" i="9" s="1"/>
  <c r="AA218" i="22"/>
  <c r="L220" i="9" s="1"/>
  <c r="M220" i="9" s="1"/>
  <c r="G233" i="10"/>
  <c r="AA231" i="22"/>
  <c r="L233" i="9" s="1"/>
  <c r="M233" i="9" s="1"/>
  <c r="Z231" i="22"/>
  <c r="F233" i="9" s="1"/>
  <c r="G132" i="10"/>
  <c r="AA130" i="22"/>
  <c r="L132" i="9" s="1"/>
  <c r="M132" i="9" s="1"/>
  <c r="Z130" i="22"/>
  <c r="F132" i="9" s="1"/>
  <c r="U163" i="10"/>
  <c r="G163" i="10" s="1"/>
  <c r="Z161" i="22"/>
  <c r="F163" i="9" s="1"/>
  <c r="AA161" i="22"/>
  <c r="L163" i="9" s="1"/>
  <c r="M163" i="9" s="1"/>
  <c r="G232" i="10"/>
  <c r="Z230" i="22"/>
  <c r="F232" i="9" s="1"/>
  <c r="AA230" i="22"/>
  <c r="L232" i="9" s="1"/>
  <c r="M232" i="9" s="1"/>
  <c r="U276" i="10"/>
  <c r="G276" i="10" s="1"/>
  <c r="Z274" i="22"/>
  <c r="F276" i="9" s="1"/>
  <c r="AA274" i="22"/>
  <c r="L276" i="9" s="1"/>
  <c r="M276" i="9" s="1"/>
  <c r="G213" i="10"/>
  <c r="Z211" i="22"/>
  <c r="F213" i="9" s="1"/>
  <c r="AA211" i="22"/>
  <c r="L213" i="9" s="1"/>
  <c r="M213" i="9" s="1"/>
  <c r="AC186" i="22"/>
  <c r="AD186" i="22" s="1"/>
  <c r="G188" i="9"/>
  <c r="U146" i="10"/>
  <c r="G146" i="10" s="1"/>
  <c r="Z144" i="22"/>
  <c r="F146" i="9" s="1"/>
  <c r="AA144" i="22"/>
  <c r="L146" i="9" s="1"/>
  <c r="M146" i="9" s="1"/>
  <c r="G289" i="10"/>
  <c r="Z287" i="22"/>
  <c r="F289" i="9" s="1"/>
  <c r="AA287" i="22"/>
  <c r="L289" i="9" s="1"/>
  <c r="M289" i="9" s="1"/>
  <c r="G49" i="10"/>
  <c r="AA47" i="22"/>
  <c r="L49" i="9" s="1"/>
  <c r="M49" i="9" s="1"/>
  <c r="U259" i="10"/>
  <c r="G259" i="10" s="1"/>
  <c r="AA257" i="22"/>
  <c r="L259" i="9" s="1"/>
  <c r="M259" i="9" s="1"/>
  <c r="Z257" i="22"/>
  <c r="F259" i="9" s="1"/>
  <c r="U311" i="10"/>
  <c r="G311" i="10" s="1"/>
  <c r="Z309" i="22"/>
  <c r="F311" i="9" s="1"/>
  <c r="AA309" i="22"/>
  <c r="L311" i="9" s="1"/>
  <c r="M311" i="9" s="1"/>
  <c r="AC215" i="22"/>
  <c r="AD215" i="22" s="1"/>
  <c r="AC189" i="22"/>
  <c r="AD189" i="22" s="1"/>
  <c r="G191" i="9"/>
  <c r="W191" i="10" s="1"/>
  <c r="G231" i="10"/>
  <c r="AA229" i="22"/>
  <c r="L231" i="9" s="1"/>
  <c r="M231" i="9" s="1"/>
  <c r="Z229" i="22"/>
  <c r="F231" i="9" s="1"/>
  <c r="AA154" i="22"/>
  <c r="L156" i="9" s="1"/>
  <c r="M156" i="9" s="1"/>
  <c r="AA120" i="22"/>
  <c r="L122" i="9" s="1"/>
  <c r="M122" i="9" s="1"/>
  <c r="Z134" i="22"/>
  <c r="F136" i="9" s="1"/>
  <c r="Z112" i="22"/>
  <c r="F114" i="9" s="1"/>
  <c r="AC286" i="22"/>
  <c r="AD286" i="22" s="1"/>
  <c r="G288" i="9"/>
  <c r="U105" i="10"/>
  <c r="G105" i="10" s="1"/>
  <c r="Z103" i="22"/>
  <c r="F105" i="9" s="1"/>
  <c r="AA103" i="22"/>
  <c r="L105" i="9" s="1"/>
  <c r="M105" i="9" s="1"/>
  <c r="U139" i="10"/>
  <c r="G139" i="10" s="1"/>
  <c r="Z137" i="22"/>
  <c r="F139" i="9" s="1"/>
  <c r="G283" i="10"/>
  <c r="AA281" i="22"/>
  <c r="L283" i="9" s="1"/>
  <c r="M283" i="9" s="1"/>
  <c r="Z281" i="22"/>
  <c r="F283" i="9" s="1"/>
  <c r="G56" i="10"/>
  <c r="Z54" i="22"/>
  <c r="F56" i="9" s="1"/>
  <c r="AA54" i="22"/>
  <c r="L56" i="9" s="1"/>
  <c r="M56" i="9" s="1"/>
  <c r="AC259" i="22"/>
  <c r="AD259" i="22" s="1"/>
  <c r="G261" i="9"/>
  <c r="G227" i="10"/>
  <c r="AA225" i="22"/>
  <c r="L227" i="9" s="1"/>
  <c r="M227" i="9" s="1"/>
  <c r="Z225" i="22"/>
  <c r="F227" i="9" s="1"/>
  <c r="G134" i="10"/>
  <c r="AA132" i="22"/>
  <c r="L134" i="9" s="1"/>
  <c r="M134" i="9" s="1"/>
  <c r="Z132" i="22"/>
  <c r="F134" i="9" s="1"/>
  <c r="U297" i="10"/>
  <c r="G297" i="10" s="1"/>
  <c r="Z295" i="22"/>
  <c r="F297" i="9" s="1"/>
  <c r="AA295" i="22"/>
  <c r="L297" i="9" s="1"/>
  <c r="M297" i="9" s="1"/>
  <c r="U131" i="10"/>
  <c r="G131" i="10" s="1"/>
  <c r="Z129" i="22"/>
  <c r="F131" i="9" s="1"/>
  <c r="Z183" i="22"/>
  <c r="F185" i="9" s="1"/>
  <c r="G18" i="10"/>
  <c r="Z16" i="22"/>
  <c r="F18" i="9" s="1"/>
  <c r="AA16" i="22"/>
  <c r="L18" i="9" s="1"/>
  <c r="M18" i="9" s="1"/>
  <c r="Z77" i="22"/>
  <c r="F79" i="9" s="1"/>
  <c r="Z181" i="22"/>
  <c r="F183" i="9" s="1"/>
  <c r="AA240" i="22"/>
  <c r="L242" i="9" s="1"/>
  <c r="M242" i="9" s="1"/>
  <c r="AA210" i="22"/>
  <c r="L212" i="9" s="1"/>
  <c r="M212" i="9" s="1"/>
  <c r="AC42" i="22"/>
  <c r="AD42" i="22" s="1"/>
  <c r="G44" i="9"/>
  <c r="Z240" i="22"/>
  <c r="F242" i="9" s="1"/>
  <c r="G298" i="10"/>
  <c r="AA296" i="22"/>
  <c r="L298" i="9" s="1"/>
  <c r="M298" i="9" s="1"/>
  <c r="Z296" i="22"/>
  <c r="F298" i="9" s="1"/>
  <c r="G142" i="10"/>
  <c r="AA140" i="22"/>
  <c r="L142" i="9" s="1"/>
  <c r="M142" i="9" s="1"/>
  <c r="Z140" i="22"/>
  <c r="F142" i="9" s="1"/>
  <c r="AC10" i="22"/>
  <c r="AD10" i="22" s="1"/>
  <c r="G12" i="9"/>
  <c r="W12" i="10" s="1"/>
  <c r="AA41" i="22"/>
  <c r="L43" i="9" s="1"/>
  <c r="M43" i="9" s="1"/>
  <c r="AA168" i="22"/>
  <c r="L170" i="9" s="1"/>
  <c r="M170" i="9" s="1"/>
  <c r="AA291" i="22"/>
  <c r="L293" i="9" s="1"/>
  <c r="M293" i="9" s="1"/>
  <c r="AC191" i="22"/>
  <c r="AD191" i="22" s="1"/>
  <c r="Z109" i="22"/>
  <c r="F111" i="9" s="1"/>
  <c r="AA100" i="22"/>
  <c r="L102" i="9" s="1"/>
  <c r="M102" i="9" s="1"/>
  <c r="AA36" i="22"/>
  <c r="L38" i="9" s="1"/>
  <c r="M38" i="9" s="1"/>
  <c r="Z227" i="22"/>
  <c r="F229" i="9" s="1"/>
  <c r="AC126" i="22"/>
  <c r="AD126" i="22" s="1"/>
  <c r="G128" i="9"/>
  <c r="AA35" i="22"/>
  <c r="L37" i="9" s="1"/>
  <c r="M37" i="9" s="1"/>
  <c r="G37" i="10"/>
  <c r="Z35" i="22"/>
  <c r="F37" i="9" s="1"/>
  <c r="U112" i="10"/>
  <c r="G112" i="10" s="1"/>
  <c r="Z110" i="22"/>
  <c r="F112" i="9" s="1"/>
  <c r="AA110" i="22"/>
  <c r="L112" i="9" s="1"/>
  <c r="M112" i="9" s="1"/>
  <c r="AC120" i="22"/>
  <c r="AD120" i="22" s="1"/>
  <c r="G122" i="9"/>
  <c r="AC40" i="22"/>
  <c r="AD40" i="22" s="1"/>
  <c r="G42" i="9"/>
  <c r="AA86" i="22"/>
  <c r="L88" i="9" s="1"/>
  <c r="M88" i="9" s="1"/>
  <c r="G230" i="10"/>
  <c r="Z228" i="22"/>
  <c r="F230" i="9" s="1"/>
  <c r="AA228" i="22"/>
  <c r="L230" i="9" s="1"/>
  <c r="M230" i="9" s="1"/>
  <c r="U180" i="10"/>
  <c r="G180" i="10" s="1"/>
  <c r="AA178" i="22"/>
  <c r="L180" i="9" s="1"/>
  <c r="M180" i="9" s="1"/>
  <c r="Z178" i="22"/>
  <c r="F180" i="9" s="1"/>
  <c r="U267" i="10"/>
  <c r="G267" i="10" s="1"/>
  <c r="Z265" i="22"/>
  <c r="F267" i="9" s="1"/>
  <c r="AA265" i="22"/>
  <c r="L267" i="9" s="1"/>
  <c r="M267" i="9" s="1"/>
  <c r="G24" i="10"/>
  <c r="Z22" i="22"/>
  <c r="F24" i="9" s="1"/>
  <c r="AA22" i="22"/>
  <c r="L24" i="9" s="1"/>
  <c r="M24" i="9" s="1"/>
  <c r="AA162" i="22"/>
  <c r="L164" i="9" s="1"/>
  <c r="M164" i="9" s="1"/>
  <c r="AC294" i="22"/>
  <c r="AD294" i="22" s="1"/>
  <c r="G296" i="9"/>
  <c r="W296" i="10" s="1"/>
  <c r="U168" i="10"/>
  <c r="G168" i="10" s="1"/>
  <c r="AA166" i="22"/>
  <c r="L168" i="9" s="1"/>
  <c r="M168" i="9" s="1"/>
  <c r="Z166" i="22"/>
  <c r="F168" i="9" s="1"/>
  <c r="U273" i="10"/>
  <c r="G273" i="10" s="1"/>
  <c r="Z271" i="22"/>
  <c r="F273" i="9" s="1"/>
  <c r="AA271" i="22"/>
  <c r="L273" i="9" s="1"/>
  <c r="M273" i="9" s="1"/>
  <c r="AA131" i="22"/>
  <c r="L133" i="9" s="1"/>
  <c r="M133" i="9" s="1"/>
  <c r="Z297" i="22"/>
  <c r="F299" i="9" s="1"/>
  <c r="AA27" i="22"/>
  <c r="L29" i="9" s="1"/>
  <c r="M29" i="9" s="1"/>
  <c r="U71" i="10"/>
  <c r="G71" i="10" s="1"/>
  <c r="Z69" i="22"/>
  <c r="F71" i="9" s="1"/>
  <c r="U161" i="10"/>
  <c r="G161" i="10" s="1"/>
  <c r="Z159" i="22"/>
  <c r="F161" i="9" s="1"/>
  <c r="AA159" i="22"/>
  <c r="L161" i="9" s="1"/>
  <c r="M161" i="9" s="1"/>
  <c r="U39" i="10"/>
  <c r="G39" i="10" s="1"/>
  <c r="Z37" i="22"/>
  <c r="F39" i="9" s="1"/>
  <c r="AA37" i="22"/>
  <c r="L39" i="9" s="1"/>
  <c r="M39" i="9" s="1"/>
  <c r="G171" i="10"/>
  <c r="Z169" i="22"/>
  <c r="F171" i="9" s="1"/>
  <c r="Z210" i="22"/>
  <c r="F212" i="9" s="1"/>
  <c r="AC62" i="22"/>
  <c r="AD62" i="22" s="1"/>
  <c r="G64" i="9"/>
  <c r="W64" i="10" s="1"/>
  <c r="Z278" i="22"/>
  <c r="F280" i="9" s="1"/>
  <c r="Z81" i="22"/>
  <c r="F83" i="9" s="1"/>
  <c r="AA81" i="22"/>
  <c r="L83" i="9" s="1"/>
  <c r="M83" i="9" s="1"/>
  <c r="Z291" i="22"/>
  <c r="F293" i="9" s="1"/>
  <c r="AA289" i="22"/>
  <c r="L291" i="9" s="1"/>
  <c r="M291" i="9" s="1"/>
  <c r="AA198" i="22"/>
  <c r="L200" i="9" s="1"/>
  <c r="M200" i="9" s="1"/>
  <c r="AA46" i="22"/>
  <c r="L48" i="9" s="1"/>
  <c r="M48" i="9" s="1"/>
  <c r="Z299" i="22"/>
  <c r="F301" i="9" s="1"/>
  <c r="AA169" i="22"/>
  <c r="L171" i="9" s="1"/>
  <c r="M171" i="9" s="1"/>
  <c r="G206" i="10"/>
  <c r="AA204" i="22"/>
  <c r="L206" i="9" s="1"/>
  <c r="M206" i="9" s="1"/>
  <c r="Z204" i="22"/>
  <c r="F206" i="9" s="1"/>
  <c r="G75" i="10"/>
  <c r="Z73" i="22"/>
  <c r="F75" i="9" s="1"/>
  <c r="AA286" i="22"/>
  <c r="L288" i="9" s="1"/>
  <c r="M288" i="9" s="1"/>
  <c r="G214" i="10"/>
  <c r="AA212" i="22"/>
  <c r="L214" i="9" s="1"/>
  <c r="M214" i="9" s="1"/>
  <c r="Z212" i="22"/>
  <c r="F214" i="9" s="1"/>
  <c r="Z9" i="22"/>
  <c r="F11" i="9" s="1"/>
  <c r="U77" i="10"/>
  <c r="G77" i="10" s="1"/>
  <c r="Z75" i="22"/>
  <c r="F77" i="9" s="1"/>
  <c r="U66" i="10"/>
  <c r="G66" i="10" s="1"/>
  <c r="Z64" i="22"/>
  <c r="F66" i="9" s="1"/>
  <c r="AA64" i="22"/>
  <c r="L66" i="9" s="1"/>
  <c r="M66" i="9" s="1"/>
  <c r="AA11" i="22"/>
  <c r="L13" i="9" s="1"/>
  <c r="M13" i="9" s="1"/>
  <c r="U13" i="10"/>
  <c r="G13" i="10" s="1"/>
  <c r="Z11" i="22"/>
  <c r="F13" i="9" s="1"/>
  <c r="Z57" i="22"/>
  <c r="F59" i="9" s="1"/>
  <c r="AC26" i="22"/>
  <c r="AD26" i="22" s="1"/>
  <c r="AA182" i="22"/>
  <c r="L184" i="9" s="1"/>
  <c r="M184" i="9" s="1"/>
  <c r="AC142" i="22"/>
  <c r="AD142" i="22" s="1"/>
  <c r="G144" i="9"/>
  <c r="W144" i="10" s="1"/>
  <c r="Z182" i="22"/>
  <c r="F184" i="9" s="1"/>
  <c r="AC163" i="22"/>
  <c r="AD163" i="22" s="1"/>
  <c r="AC243" i="22"/>
  <c r="AD243" i="22" s="1"/>
  <c r="G245" i="9"/>
  <c r="W245" i="10" s="1"/>
  <c r="AC193" i="22"/>
  <c r="AD193" i="22" s="1"/>
  <c r="G195" i="9"/>
  <c r="AA165" i="22"/>
  <c r="L167" i="9" s="1"/>
  <c r="M167" i="9" s="1"/>
  <c r="Z92" i="22"/>
  <c r="F94" i="9" s="1"/>
  <c r="AC123" i="22"/>
  <c r="AD123" i="22" s="1"/>
  <c r="G125" i="9"/>
  <c r="W125" i="10" s="1"/>
  <c r="AC98" i="22"/>
  <c r="AD98" i="22" s="1"/>
  <c r="G100" i="9"/>
  <c r="W100" i="10" s="1"/>
  <c r="G295" i="10"/>
  <c r="Z293" i="22"/>
  <c r="F295" i="9" s="1"/>
  <c r="AA293" i="22"/>
  <c r="L295" i="9" s="1"/>
  <c r="M295" i="9" s="1"/>
  <c r="U76" i="10"/>
  <c r="G76" i="10" s="1"/>
  <c r="Z74" i="22"/>
  <c r="F76" i="9" s="1"/>
  <c r="AA74" i="22"/>
  <c r="L76" i="9" s="1"/>
  <c r="M76" i="9" s="1"/>
  <c r="AA149" i="22"/>
  <c r="L151" i="9" s="1"/>
  <c r="M151" i="9" s="1"/>
  <c r="Z60" i="22"/>
  <c r="F62" i="9" s="1"/>
  <c r="Z67" i="22"/>
  <c r="F69" i="9" s="1"/>
  <c r="AA61" i="22"/>
  <c r="L63" i="9" s="1"/>
  <c r="M63" i="9" s="1"/>
  <c r="AA19" i="22"/>
  <c r="L21" i="9" s="1"/>
  <c r="M21" i="9" s="1"/>
  <c r="U21" i="10"/>
  <c r="G21" i="10" s="1"/>
  <c r="AA99" i="22"/>
  <c r="L101" i="9" s="1"/>
  <c r="M101" i="9" s="1"/>
  <c r="AA238" i="22"/>
  <c r="L240" i="9" s="1"/>
  <c r="M240" i="9" s="1"/>
  <c r="Z200" i="22"/>
  <c r="F202" i="9" s="1"/>
  <c r="AA217" i="22"/>
  <c r="L219" i="9" s="1"/>
  <c r="M219" i="9" s="1"/>
  <c r="AA278" i="22"/>
  <c r="L280" i="9" s="1"/>
  <c r="M280" i="9" s="1"/>
  <c r="AA102" i="22"/>
  <c r="L104" i="9" s="1"/>
  <c r="M104" i="9" s="1"/>
  <c r="AA272" i="22"/>
  <c r="L274" i="9" s="1"/>
  <c r="M274" i="9" s="1"/>
  <c r="Z89" i="22"/>
  <c r="F91" i="9" s="1"/>
  <c r="Z101" i="22"/>
  <c r="F103" i="9" s="1"/>
  <c r="AA42" i="22"/>
  <c r="L44" i="9" s="1"/>
  <c r="M44" i="9" s="1"/>
  <c r="Z38" i="22"/>
  <c r="F40" i="9" s="1"/>
  <c r="AA156" i="22"/>
  <c r="L158" i="9" s="1"/>
  <c r="M158" i="9" s="1"/>
  <c r="Z71" i="22"/>
  <c r="F73" i="9" s="1"/>
  <c r="Z155" i="22"/>
  <c r="F157" i="9" s="1"/>
  <c r="AC107" i="22"/>
  <c r="AD107" i="22" s="1"/>
  <c r="G109" i="9"/>
  <c r="W109" i="10" s="1"/>
  <c r="Z63" i="22"/>
  <c r="F65" i="9" s="1"/>
  <c r="Z195" i="22"/>
  <c r="F197" i="9" s="1"/>
  <c r="Z289" i="22"/>
  <c r="F291" i="9" s="1"/>
  <c r="AA25" i="22"/>
  <c r="L27" i="9" s="1"/>
  <c r="M27" i="9" s="1"/>
  <c r="AA26" i="22"/>
  <c r="L28" i="9" s="1"/>
  <c r="M28" i="9" s="1"/>
  <c r="L318" i="18"/>
  <c r="C8" i="22"/>
  <c r="M318" i="18"/>
  <c r="D8" i="22"/>
  <c r="R10" i="10" s="1"/>
  <c r="F8" i="22"/>
  <c r="T10" i="10" s="1"/>
  <c r="E8" i="22"/>
  <c r="S10" i="10" s="1"/>
  <c r="P323" i="9"/>
  <c r="Q10" i="9"/>
  <c r="Q323" i="9" s="1"/>
  <c r="E72" i="25" l="1"/>
  <c r="E77" i="25" s="1"/>
  <c r="E90" i="25"/>
  <c r="E92" i="25" s="1"/>
  <c r="G246" i="9"/>
  <c r="G14" i="9"/>
  <c r="W14" i="10" s="1"/>
  <c r="M22" i="9"/>
  <c r="E24" i="25" s="1"/>
  <c r="E34" i="25" s="1"/>
  <c r="G244" i="9"/>
  <c r="G106" i="9"/>
  <c r="W106" i="10" s="1"/>
  <c r="G27" i="9"/>
  <c r="AC202" i="22"/>
  <c r="AD202" i="22" s="1"/>
  <c r="G38" i="9"/>
  <c r="W38" i="10" s="1"/>
  <c r="AC288" i="22"/>
  <c r="AD288" i="22" s="1"/>
  <c r="G99" i="9"/>
  <c r="W99" i="10" s="1"/>
  <c r="G268" i="9"/>
  <c r="W268" i="10" s="1"/>
  <c r="M127" i="9"/>
  <c r="W127" i="10" s="1"/>
  <c r="AC87" i="22"/>
  <c r="AD87" i="22" s="1"/>
  <c r="G179" i="9"/>
  <c r="W179" i="10" s="1"/>
  <c r="G247" i="9"/>
  <c r="W247" i="10" s="1"/>
  <c r="G54" i="9"/>
  <c r="W54" i="10" s="1"/>
  <c r="G173" i="9"/>
  <c r="W173" i="10" s="1"/>
  <c r="G284" i="9"/>
  <c r="W284" i="10" s="1"/>
  <c r="G80" i="9"/>
  <c r="W80" i="10" s="1"/>
  <c r="AC269" i="22"/>
  <c r="AD269" i="22" s="1"/>
  <c r="AC298" i="22"/>
  <c r="AD298" i="22" s="1"/>
  <c r="G116" i="9"/>
  <c r="W116" i="10" s="1"/>
  <c r="G26" i="9"/>
  <c r="W26" i="10" s="1"/>
  <c r="G49" i="9"/>
  <c r="W49" i="10" s="1"/>
  <c r="G50" i="9"/>
  <c r="W50" i="10" s="1"/>
  <c r="G53" i="9"/>
  <c r="W53" i="10" s="1"/>
  <c r="G236" i="9"/>
  <c r="W236" i="10" s="1"/>
  <c r="G119" i="9"/>
  <c r="W119" i="10" s="1"/>
  <c r="G67" i="9"/>
  <c r="W67" i="10" s="1"/>
  <c r="G58" i="9"/>
  <c r="W58" i="10" s="1"/>
  <c r="W34" i="10"/>
  <c r="AC175" i="22"/>
  <c r="AD175" i="22" s="1"/>
  <c r="G153" i="9"/>
  <c r="W153" i="10" s="1"/>
  <c r="W47" i="10"/>
  <c r="G251" i="9"/>
  <c r="W251" i="10" s="1"/>
  <c r="G110" i="9"/>
  <c r="W110" i="10" s="1"/>
  <c r="G218" i="9"/>
  <c r="W218" i="10" s="1"/>
  <c r="G126" i="9"/>
  <c r="W126" i="10" s="1"/>
  <c r="AC29" i="22"/>
  <c r="AD29" i="22" s="1"/>
  <c r="G33" i="9"/>
  <c r="W33" i="10" s="1"/>
  <c r="AC172" i="22"/>
  <c r="AD172" i="22" s="1"/>
  <c r="G263" i="9"/>
  <c r="W263" i="10" s="1"/>
  <c r="G95" i="9"/>
  <c r="W95" i="10" s="1"/>
  <c r="W300" i="10"/>
  <c r="AC27" i="22"/>
  <c r="AD27" i="22" s="1"/>
  <c r="W290" i="10"/>
  <c r="AC238" i="22"/>
  <c r="AD238" i="22" s="1"/>
  <c r="G137" i="9"/>
  <c r="W137" i="10" s="1"/>
  <c r="W162" i="10"/>
  <c r="AC30" i="22"/>
  <c r="AD30" i="22" s="1"/>
  <c r="W204" i="10"/>
  <c r="G312" i="10"/>
  <c r="AC125" i="22"/>
  <c r="AD125" i="22" s="1"/>
  <c r="W246" i="10"/>
  <c r="W129" i="10"/>
  <c r="W195" i="10"/>
  <c r="G187" i="9"/>
  <c r="W187" i="10" s="1"/>
  <c r="AC300" i="22"/>
  <c r="AD300" i="22" s="1"/>
  <c r="AC199" i="22"/>
  <c r="AD199" i="22" s="1"/>
  <c r="W122" i="10"/>
  <c r="G51" i="9"/>
  <c r="W51" i="10" s="1"/>
  <c r="AC127" i="22"/>
  <c r="AD127" i="22" s="1"/>
  <c r="W165" i="10"/>
  <c r="G235" i="9"/>
  <c r="W235" i="10" s="1"/>
  <c r="G192" i="9"/>
  <c r="W192" i="10" s="1"/>
  <c r="G41" i="9"/>
  <c r="W41" i="10" s="1"/>
  <c r="G175" i="9"/>
  <c r="W175" i="10" s="1"/>
  <c r="W177" i="10"/>
  <c r="AC91" i="22"/>
  <c r="AD91" i="22" s="1"/>
  <c r="W89" i="10"/>
  <c r="W32" i="10"/>
  <c r="G17" i="9"/>
  <c r="W17" i="10" s="1"/>
  <c r="G143" i="9"/>
  <c r="W143" i="10" s="1"/>
  <c r="G203" i="9"/>
  <c r="W203" i="10" s="1"/>
  <c r="G160" i="9"/>
  <c r="W160" i="10" s="1"/>
  <c r="W31" i="10"/>
  <c r="G63" i="9"/>
  <c r="W63" i="10" s="1"/>
  <c r="W128" i="10"/>
  <c r="W201" i="10"/>
  <c r="G130" i="9"/>
  <c r="W130" i="10" s="1"/>
  <c r="W188" i="10"/>
  <c r="W261" i="10"/>
  <c r="G170" i="9"/>
  <c r="W170" i="10" s="1"/>
  <c r="G281" i="9"/>
  <c r="W281" i="10" s="1"/>
  <c r="W244" i="10"/>
  <c r="G255" i="9"/>
  <c r="W255" i="10" s="1"/>
  <c r="W271" i="10"/>
  <c r="G108" i="9"/>
  <c r="W108" i="10" s="1"/>
  <c r="W21" i="10"/>
  <c r="W302" i="10"/>
  <c r="W174" i="10"/>
  <c r="AC134" i="22"/>
  <c r="AD134" i="22" s="1"/>
  <c r="G136" i="9"/>
  <c r="W136" i="10" s="1"/>
  <c r="AC70" i="22"/>
  <c r="AD70" i="22" s="1"/>
  <c r="G72" i="9"/>
  <c r="W72" i="10" s="1"/>
  <c r="AC21" i="22"/>
  <c r="AD21" i="22" s="1"/>
  <c r="G23" i="9"/>
  <c r="W23" i="10" s="1"/>
  <c r="AC63" i="22"/>
  <c r="AD63" i="22" s="1"/>
  <c r="G65" i="9"/>
  <c r="W65" i="10" s="1"/>
  <c r="AC293" i="22"/>
  <c r="AD293" i="22" s="1"/>
  <c r="G295" i="9"/>
  <c r="W295" i="10" s="1"/>
  <c r="AC210" i="22"/>
  <c r="AD210" i="22" s="1"/>
  <c r="G212" i="9"/>
  <c r="W212" i="10" s="1"/>
  <c r="AC109" i="22"/>
  <c r="AD109" i="22" s="1"/>
  <c r="G111" i="9"/>
  <c r="W111" i="10" s="1"/>
  <c r="AC140" i="22"/>
  <c r="AD140" i="22" s="1"/>
  <c r="G142" i="9"/>
  <c r="W142" i="10" s="1"/>
  <c r="AC77" i="22"/>
  <c r="AD77" i="22" s="1"/>
  <c r="G79" i="9"/>
  <c r="W79" i="10" s="1"/>
  <c r="AC112" i="22"/>
  <c r="AD112" i="22" s="1"/>
  <c r="G114" i="9"/>
  <c r="W114" i="10" s="1"/>
  <c r="AC121" i="22"/>
  <c r="AD121" i="22" s="1"/>
  <c r="G123" i="9"/>
  <c r="W123" i="10" s="1"/>
  <c r="AC100" i="22"/>
  <c r="AD100" i="22" s="1"/>
  <c r="G102" i="9"/>
  <c r="W102" i="10" s="1"/>
  <c r="AC179" i="22"/>
  <c r="AD179" i="22" s="1"/>
  <c r="G181" i="9"/>
  <c r="W181" i="10" s="1"/>
  <c r="AC17" i="22"/>
  <c r="AD17" i="22" s="1"/>
  <c r="G19" i="9"/>
  <c r="W19" i="10" s="1"/>
  <c r="AC80" i="22"/>
  <c r="AD80" i="22" s="1"/>
  <c r="G82" i="9"/>
  <c r="W82" i="10" s="1"/>
  <c r="AC82" i="22"/>
  <c r="AD82" i="22" s="1"/>
  <c r="G84" i="9"/>
  <c r="W84" i="10" s="1"/>
  <c r="AC116" i="22"/>
  <c r="AD116" i="22" s="1"/>
  <c r="G118" i="9"/>
  <c r="W118" i="10" s="1"/>
  <c r="AC206" i="22"/>
  <c r="AD206" i="22" s="1"/>
  <c r="G209" i="9"/>
  <c r="W209" i="10" s="1"/>
  <c r="AC224" i="22"/>
  <c r="AD224" i="22" s="1"/>
  <c r="G226" i="9"/>
  <c r="W226" i="10" s="1"/>
  <c r="AC88" i="22"/>
  <c r="AD88" i="22" s="1"/>
  <c r="G90" i="9"/>
  <c r="W90" i="10" s="1"/>
  <c r="AC305" i="22"/>
  <c r="AD305" i="22" s="1"/>
  <c r="G308" i="9"/>
  <c r="W308" i="10" s="1"/>
  <c r="AC308" i="22"/>
  <c r="AD308" i="22" s="1"/>
  <c r="G310" i="9"/>
  <c r="W310" i="10" s="1"/>
  <c r="AC102" i="22"/>
  <c r="AD102" i="22" s="1"/>
  <c r="G104" i="9"/>
  <c r="W104" i="10" s="1"/>
  <c r="AC250" i="22"/>
  <c r="AD250" i="22" s="1"/>
  <c r="G252" i="9"/>
  <c r="W252" i="10" s="1"/>
  <c r="AC200" i="22"/>
  <c r="AD200" i="22" s="1"/>
  <c r="G202" i="9"/>
  <c r="W202" i="10" s="1"/>
  <c r="AC169" i="22"/>
  <c r="AD169" i="22" s="1"/>
  <c r="G171" i="9"/>
  <c r="W171" i="10" s="1"/>
  <c r="AC232" i="22"/>
  <c r="AD232" i="22" s="1"/>
  <c r="G234" i="9"/>
  <c r="W234" i="10" s="1"/>
  <c r="AC203" i="22"/>
  <c r="AD203" i="22" s="1"/>
  <c r="G205" i="9"/>
  <c r="W205" i="10" s="1"/>
  <c r="AC149" i="22"/>
  <c r="AD149" i="22" s="1"/>
  <c r="G151" i="9"/>
  <c r="W151" i="10" s="1"/>
  <c r="AC67" i="22"/>
  <c r="AD67" i="22" s="1"/>
  <c r="G69" i="9"/>
  <c r="W69" i="10" s="1"/>
  <c r="AC64" i="22"/>
  <c r="AD64" i="22" s="1"/>
  <c r="G66" i="9"/>
  <c r="W66" i="10" s="1"/>
  <c r="AC159" i="22"/>
  <c r="AD159" i="22" s="1"/>
  <c r="G161" i="9"/>
  <c r="W161" i="10" s="1"/>
  <c r="AC297" i="22"/>
  <c r="AD297" i="22" s="1"/>
  <c r="G299" i="9"/>
  <c r="W299" i="10" s="1"/>
  <c r="AC22" i="22"/>
  <c r="AD22" i="22" s="1"/>
  <c r="G24" i="9"/>
  <c r="W24" i="10" s="1"/>
  <c r="W27" i="10"/>
  <c r="W44" i="10"/>
  <c r="AC295" i="22"/>
  <c r="AD295" i="22" s="1"/>
  <c r="G297" i="9"/>
  <c r="W297" i="10" s="1"/>
  <c r="AC137" i="22"/>
  <c r="AD137" i="22" s="1"/>
  <c r="G139" i="9"/>
  <c r="W139" i="10" s="1"/>
  <c r="AC237" i="22"/>
  <c r="AD237" i="22" s="1"/>
  <c r="G239" i="9"/>
  <c r="W239" i="10" s="1"/>
  <c r="AC50" i="22"/>
  <c r="AD50" i="22" s="1"/>
  <c r="G52" i="9"/>
  <c r="W52" i="10" s="1"/>
  <c r="AC276" i="22"/>
  <c r="AD276" i="22" s="1"/>
  <c r="G278" i="9"/>
  <c r="W278" i="10" s="1"/>
  <c r="AC285" i="22"/>
  <c r="AD285" i="22" s="1"/>
  <c r="G287" i="9"/>
  <c r="W287" i="10" s="1"/>
  <c r="AC28" i="22"/>
  <c r="AD28" i="22" s="1"/>
  <c r="G30" i="9"/>
  <c r="W30" i="10" s="1"/>
  <c r="AC262" i="22"/>
  <c r="AD262" i="22" s="1"/>
  <c r="G264" i="9"/>
  <c r="W264" i="10" s="1"/>
  <c r="AC255" i="22"/>
  <c r="AD255" i="22" s="1"/>
  <c r="G257" i="9"/>
  <c r="W257" i="10" s="1"/>
  <c r="AC270" i="22"/>
  <c r="AD270" i="22" s="1"/>
  <c r="G272" i="9"/>
  <c r="W272" i="10" s="1"/>
  <c r="AC310" i="22"/>
  <c r="AD310" i="22" s="1"/>
  <c r="G312" i="9"/>
  <c r="W312" i="10" s="1"/>
  <c r="AC303" i="22"/>
  <c r="AD303" i="22" s="1"/>
  <c r="G306" i="9"/>
  <c r="W306" i="10" s="1"/>
  <c r="AC76" i="22"/>
  <c r="AD76" i="22" s="1"/>
  <c r="G78" i="9"/>
  <c r="W78" i="10" s="1"/>
  <c r="AC264" i="22"/>
  <c r="AD264" i="22" s="1"/>
  <c r="G266" i="9"/>
  <c r="W266" i="10" s="1"/>
  <c r="AC14" i="22"/>
  <c r="AD14" i="22" s="1"/>
  <c r="G16" i="9"/>
  <c r="W16" i="10" s="1"/>
  <c r="W45" i="10"/>
  <c r="AC256" i="22"/>
  <c r="AD256" i="22" s="1"/>
  <c r="G258" i="9"/>
  <c r="W258" i="10" s="1"/>
  <c r="AC96" i="22"/>
  <c r="AD96" i="22" s="1"/>
  <c r="G98" i="9"/>
  <c r="W98" i="10" s="1"/>
  <c r="AC154" i="22"/>
  <c r="AD154" i="22" s="1"/>
  <c r="G156" i="9"/>
  <c r="W156" i="10" s="1"/>
  <c r="AC192" i="22"/>
  <c r="AD192" i="22" s="1"/>
  <c r="G194" i="9"/>
  <c r="W194" i="10" s="1"/>
  <c r="AC119" i="22"/>
  <c r="AD119" i="22" s="1"/>
  <c r="G121" i="9"/>
  <c r="W121" i="10" s="1"/>
  <c r="AC196" i="22"/>
  <c r="AD196" i="22" s="1"/>
  <c r="G198" i="9"/>
  <c r="W198" i="10" s="1"/>
  <c r="AC220" i="22"/>
  <c r="AD220" i="22" s="1"/>
  <c r="G222" i="9"/>
  <c r="W222" i="10" s="1"/>
  <c r="AC18" i="22"/>
  <c r="AD18" i="22" s="1"/>
  <c r="G20" i="9"/>
  <c r="W20" i="10" s="1"/>
  <c r="AC235" i="22"/>
  <c r="AD235" i="22" s="1"/>
  <c r="G237" i="9"/>
  <c r="W237" i="10" s="1"/>
  <c r="AC152" i="22"/>
  <c r="AD152" i="22" s="1"/>
  <c r="G154" i="9"/>
  <c r="W154" i="10" s="1"/>
  <c r="AC101" i="22"/>
  <c r="AD101" i="22" s="1"/>
  <c r="G103" i="9"/>
  <c r="W103" i="10" s="1"/>
  <c r="AC60" i="22"/>
  <c r="AD60" i="22" s="1"/>
  <c r="G62" i="9"/>
  <c r="W62" i="10" s="1"/>
  <c r="AC182" i="22"/>
  <c r="AD182" i="22" s="1"/>
  <c r="G184" i="9"/>
  <c r="W184" i="10" s="1"/>
  <c r="AC299" i="22"/>
  <c r="AD299" i="22" s="1"/>
  <c r="G301" i="9"/>
  <c r="W301" i="10" s="1"/>
  <c r="AC291" i="22"/>
  <c r="AD291" i="22" s="1"/>
  <c r="G293" i="9"/>
  <c r="W293" i="10" s="1"/>
  <c r="AC228" i="22"/>
  <c r="AD228" i="22" s="1"/>
  <c r="G230" i="9"/>
  <c r="W230" i="10" s="1"/>
  <c r="AC16" i="22"/>
  <c r="AD16" i="22" s="1"/>
  <c r="G18" i="9"/>
  <c r="W18" i="10" s="1"/>
  <c r="AC229" i="22"/>
  <c r="AD229" i="22" s="1"/>
  <c r="G231" i="9"/>
  <c r="W231" i="10" s="1"/>
  <c r="AC309" i="22"/>
  <c r="AD309" i="22" s="1"/>
  <c r="G311" i="9"/>
  <c r="W311" i="10" s="1"/>
  <c r="AC287" i="22"/>
  <c r="AD287" i="22" s="1"/>
  <c r="G289" i="9"/>
  <c r="W289" i="10" s="1"/>
  <c r="AC230" i="22"/>
  <c r="AD230" i="22" s="1"/>
  <c r="G232" i="9"/>
  <c r="W232" i="10" s="1"/>
  <c r="AC231" i="22"/>
  <c r="AD231" i="22" s="1"/>
  <c r="G233" i="9"/>
  <c r="W233" i="10" s="1"/>
  <c r="AC184" i="22"/>
  <c r="AD184" i="22" s="1"/>
  <c r="G186" i="9"/>
  <c r="W186" i="10" s="1"/>
  <c r="AC165" i="22"/>
  <c r="AD165" i="22" s="1"/>
  <c r="G167" i="9"/>
  <c r="W167" i="10" s="1"/>
  <c r="AC136" i="22"/>
  <c r="AD136" i="22" s="1"/>
  <c r="G138" i="9"/>
  <c r="W138" i="10" s="1"/>
  <c r="AC194" i="22"/>
  <c r="AD194" i="22" s="1"/>
  <c r="G196" i="9"/>
  <c r="W196" i="10" s="1"/>
  <c r="AC247" i="22"/>
  <c r="AD247" i="22" s="1"/>
  <c r="G249" i="9"/>
  <c r="W249" i="10" s="1"/>
  <c r="AC226" i="22"/>
  <c r="AD226" i="22" s="1"/>
  <c r="G228" i="9"/>
  <c r="W228" i="10" s="1"/>
  <c r="AC156" i="22"/>
  <c r="AD156" i="22" s="1"/>
  <c r="G158" i="9"/>
  <c r="W158" i="10" s="1"/>
  <c r="AC44" i="22"/>
  <c r="AD44" i="22" s="1"/>
  <c r="G46" i="9"/>
  <c r="W46" i="10" s="1"/>
  <c r="AC246" i="22"/>
  <c r="AD246" i="22" s="1"/>
  <c r="G248" i="9"/>
  <c r="W248" i="10" s="1"/>
  <c r="AC153" i="22"/>
  <c r="AD153" i="22" s="1"/>
  <c r="G155" i="9"/>
  <c r="W155" i="10" s="1"/>
  <c r="W93" i="10"/>
  <c r="AC69" i="22"/>
  <c r="AD69" i="22" s="1"/>
  <c r="G71" i="9"/>
  <c r="W71" i="10" s="1"/>
  <c r="AC302" i="22"/>
  <c r="AD302" i="22" s="1"/>
  <c r="G304" i="9"/>
  <c r="W304" i="10" s="1"/>
  <c r="AC155" i="22"/>
  <c r="AD155" i="22" s="1"/>
  <c r="G157" i="9"/>
  <c r="W157" i="10" s="1"/>
  <c r="AC89" i="22"/>
  <c r="AD89" i="22" s="1"/>
  <c r="G91" i="9"/>
  <c r="W91" i="10" s="1"/>
  <c r="AC57" i="22"/>
  <c r="AD57" i="22" s="1"/>
  <c r="G59" i="9"/>
  <c r="W59" i="10" s="1"/>
  <c r="AC73" i="22"/>
  <c r="AD73" i="22" s="1"/>
  <c r="G75" i="9"/>
  <c r="W75" i="10" s="1"/>
  <c r="AC81" i="22"/>
  <c r="AD81" i="22" s="1"/>
  <c r="G83" i="9"/>
  <c r="W83" i="10" s="1"/>
  <c r="AC271" i="22"/>
  <c r="AD271" i="22" s="1"/>
  <c r="G273" i="9"/>
  <c r="W273" i="10" s="1"/>
  <c r="AC265" i="22"/>
  <c r="AD265" i="22" s="1"/>
  <c r="G267" i="9"/>
  <c r="W267" i="10" s="1"/>
  <c r="AC110" i="22"/>
  <c r="AD110" i="22" s="1"/>
  <c r="G112" i="9"/>
  <c r="W112" i="10" s="1"/>
  <c r="AC183" i="22"/>
  <c r="AD183" i="22" s="1"/>
  <c r="G185" i="9"/>
  <c r="W185" i="10" s="1"/>
  <c r="AC54" i="22"/>
  <c r="AD54" i="22" s="1"/>
  <c r="G56" i="9"/>
  <c r="W56" i="10" s="1"/>
  <c r="AC103" i="22"/>
  <c r="AD103" i="22" s="1"/>
  <c r="G105" i="9"/>
  <c r="W105" i="10" s="1"/>
  <c r="AC257" i="22"/>
  <c r="AD257" i="22" s="1"/>
  <c r="G259" i="9"/>
  <c r="W259" i="10" s="1"/>
  <c r="AC211" i="22"/>
  <c r="AD211" i="22" s="1"/>
  <c r="G213" i="9"/>
  <c r="W213" i="10" s="1"/>
  <c r="AC272" i="22"/>
  <c r="AD272" i="22" s="1"/>
  <c r="G274" i="9"/>
  <c r="W274" i="10" s="1"/>
  <c r="AC207" i="22"/>
  <c r="AD207" i="22" s="1"/>
  <c r="G210" i="9"/>
  <c r="W210" i="10" s="1"/>
  <c r="AC188" i="22"/>
  <c r="AD188" i="22" s="1"/>
  <c r="G190" i="9"/>
  <c r="W190" i="10" s="1"/>
  <c r="AC115" i="22"/>
  <c r="AD115" i="22" s="1"/>
  <c r="G117" i="9"/>
  <c r="W117" i="10" s="1"/>
  <c r="AC95" i="22"/>
  <c r="AD95" i="22" s="1"/>
  <c r="G97" i="9"/>
  <c r="W97" i="10" s="1"/>
  <c r="AC275" i="22"/>
  <c r="AD275" i="22" s="1"/>
  <c r="G277" i="9"/>
  <c r="W277" i="10" s="1"/>
  <c r="AC147" i="22"/>
  <c r="AD147" i="22" s="1"/>
  <c r="G149" i="9"/>
  <c r="W149" i="10" s="1"/>
  <c r="AC239" i="22"/>
  <c r="AD239" i="22" s="1"/>
  <c r="G241" i="9"/>
  <c r="W241" i="10" s="1"/>
  <c r="AC290" i="22"/>
  <c r="AD290" i="22" s="1"/>
  <c r="G292" i="9"/>
  <c r="W292" i="10" s="1"/>
  <c r="AC273" i="22"/>
  <c r="AD273" i="22" s="1"/>
  <c r="G275" i="9"/>
  <c r="W275" i="10" s="1"/>
  <c r="AC84" i="22"/>
  <c r="AD84" i="22" s="1"/>
  <c r="G86" i="9"/>
  <c r="W86" i="10" s="1"/>
  <c r="AC283" i="22"/>
  <c r="AD283" i="22" s="1"/>
  <c r="G285" i="9"/>
  <c r="W285" i="10" s="1"/>
  <c r="AC113" i="22"/>
  <c r="AD113" i="22" s="1"/>
  <c r="G115" i="9"/>
  <c r="W115" i="10" s="1"/>
  <c r="AC41" i="22"/>
  <c r="AD41" i="22" s="1"/>
  <c r="G43" i="9"/>
  <c r="W43" i="10" s="1"/>
  <c r="AC254" i="22"/>
  <c r="AD254" i="22" s="1"/>
  <c r="G256" i="9"/>
  <c r="W256" i="10" s="1"/>
  <c r="AC86" i="22"/>
  <c r="AD86" i="22" s="1"/>
  <c r="G88" i="9"/>
  <c r="W88" i="10" s="1"/>
  <c r="AC75" i="22"/>
  <c r="AD75" i="22" s="1"/>
  <c r="G77" i="9"/>
  <c r="W77" i="10" s="1"/>
  <c r="AC53" i="22"/>
  <c r="AD53" i="22" s="1"/>
  <c r="G55" i="9"/>
  <c r="W55" i="10" s="1"/>
  <c r="AC74" i="22"/>
  <c r="AD74" i="22" s="1"/>
  <c r="G76" i="9"/>
  <c r="W76" i="10" s="1"/>
  <c r="AC11" i="22"/>
  <c r="AD11" i="22" s="1"/>
  <c r="G13" i="9"/>
  <c r="W13" i="10" s="1"/>
  <c r="AC9" i="22"/>
  <c r="AD9" i="22" s="1"/>
  <c r="G11" i="9"/>
  <c r="W11" i="10" s="1"/>
  <c r="AC278" i="22"/>
  <c r="AD278" i="22" s="1"/>
  <c r="G280" i="9"/>
  <c r="W280" i="10" s="1"/>
  <c r="W42" i="10"/>
  <c r="AC227" i="22"/>
  <c r="AD227" i="22" s="1"/>
  <c r="G229" i="9"/>
  <c r="W229" i="10" s="1"/>
  <c r="AC181" i="22"/>
  <c r="AD181" i="22" s="1"/>
  <c r="G183" i="9"/>
  <c r="W183" i="10" s="1"/>
  <c r="AC161" i="22"/>
  <c r="AD161" i="22" s="1"/>
  <c r="G163" i="9"/>
  <c r="W163" i="10" s="1"/>
  <c r="AC180" i="22"/>
  <c r="AD180" i="22" s="1"/>
  <c r="G182" i="9"/>
  <c r="W182" i="10" s="1"/>
  <c r="AC260" i="22"/>
  <c r="AD260" i="22" s="1"/>
  <c r="G262" i="9"/>
  <c r="W262" i="10" s="1"/>
  <c r="AC268" i="22"/>
  <c r="AD268" i="22" s="1"/>
  <c r="G270" i="9"/>
  <c r="W270" i="10" s="1"/>
  <c r="AC248" i="22"/>
  <c r="AD248" i="22" s="1"/>
  <c r="G250" i="9"/>
  <c r="W250" i="10" s="1"/>
  <c r="AC58" i="22"/>
  <c r="AD58" i="22" s="1"/>
  <c r="G60" i="9"/>
  <c r="W60" i="10" s="1"/>
  <c r="AC111" i="22"/>
  <c r="AD111" i="22" s="1"/>
  <c r="G113" i="9"/>
  <c r="W113" i="10" s="1"/>
  <c r="AC284" i="22"/>
  <c r="AD284" i="22" s="1"/>
  <c r="G286" i="9"/>
  <c r="W286" i="10" s="1"/>
  <c r="AC198" i="22"/>
  <c r="AD198" i="22" s="1"/>
  <c r="G200" i="9"/>
  <c r="W200" i="10" s="1"/>
  <c r="AC20" i="22"/>
  <c r="AD20" i="22" s="1"/>
  <c r="G22" i="9"/>
  <c r="AC157" i="22"/>
  <c r="AD157" i="22" s="1"/>
  <c r="G159" i="9"/>
  <c r="W159" i="10" s="1"/>
  <c r="AC162" i="22"/>
  <c r="AD162" i="22" s="1"/>
  <c r="G164" i="9"/>
  <c r="W164" i="10" s="1"/>
  <c r="AC145" i="22"/>
  <c r="AD145" i="22" s="1"/>
  <c r="G147" i="9"/>
  <c r="W147" i="10" s="1"/>
  <c r="AC132" i="22"/>
  <c r="AD132" i="22" s="1"/>
  <c r="G134" i="9"/>
  <c r="W134" i="10" s="1"/>
  <c r="AC267" i="22"/>
  <c r="AD267" i="22" s="1"/>
  <c r="G269" i="9"/>
  <c r="W269" i="10" s="1"/>
  <c r="AC133" i="22"/>
  <c r="AD133" i="22" s="1"/>
  <c r="G135" i="9"/>
  <c r="W135" i="10" s="1"/>
  <c r="AC71" i="22"/>
  <c r="AD71" i="22" s="1"/>
  <c r="G73" i="9"/>
  <c r="W73" i="10" s="1"/>
  <c r="AC289" i="22"/>
  <c r="AD289" i="22" s="1"/>
  <c r="G291" i="9"/>
  <c r="W291" i="10" s="1"/>
  <c r="AC92" i="22"/>
  <c r="AD92" i="22" s="1"/>
  <c r="G94" i="9"/>
  <c r="W94" i="10" s="1"/>
  <c r="W28" i="10"/>
  <c r="AC204" i="22"/>
  <c r="AD204" i="22" s="1"/>
  <c r="G206" i="9"/>
  <c r="W206" i="10" s="1"/>
  <c r="AC37" i="22"/>
  <c r="AD37" i="22" s="1"/>
  <c r="G39" i="9"/>
  <c r="W39" i="10" s="1"/>
  <c r="AC166" i="22"/>
  <c r="AD166" i="22" s="1"/>
  <c r="G168" i="9"/>
  <c r="W168" i="10" s="1"/>
  <c r="W29" i="10"/>
  <c r="AC178" i="22"/>
  <c r="AD178" i="22" s="1"/>
  <c r="G180" i="9"/>
  <c r="W180" i="10" s="1"/>
  <c r="AC35" i="22"/>
  <c r="AD35" i="22" s="1"/>
  <c r="G37" i="9"/>
  <c r="W37" i="10" s="1"/>
  <c r="AC240" i="22"/>
  <c r="AD240" i="22" s="1"/>
  <c r="G242" i="9"/>
  <c r="W242" i="10" s="1"/>
  <c r="AC129" i="22"/>
  <c r="AD129" i="22" s="1"/>
  <c r="G131" i="9"/>
  <c r="W131" i="10" s="1"/>
  <c r="AC225" i="22"/>
  <c r="AD225" i="22" s="1"/>
  <c r="G227" i="9"/>
  <c r="W227" i="10" s="1"/>
  <c r="AC281" i="22"/>
  <c r="AD281" i="22" s="1"/>
  <c r="G283" i="9"/>
  <c r="W283" i="10" s="1"/>
  <c r="W288" i="10"/>
  <c r="AC218" i="22"/>
  <c r="AD218" i="22" s="1"/>
  <c r="G220" i="9"/>
  <c r="W220" i="10" s="1"/>
  <c r="AC83" i="22"/>
  <c r="AD83" i="22" s="1"/>
  <c r="G85" i="9"/>
  <c r="W85" i="10" s="1"/>
  <c r="AC263" i="22"/>
  <c r="AD263" i="22" s="1"/>
  <c r="G265" i="9"/>
  <c r="W265" i="10" s="1"/>
  <c r="AC131" i="22"/>
  <c r="AD131" i="22" s="1"/>
  <c r="G133" i="9"/>
  <c r="W133" i="10" s="1"/>
  <c r="AC176" i="22"/>
  <c r="AD176" i="22" s="1"/>
  <c r="G178" i="9"/>
  <c r="W178" i="10" s="1"/>
  <c r="AC280" i="22"/>
  <c r="AD280" i="22" s="1"/>
  <c r="G282" i="9"/>
  <c r="W282" i="10" s="1"/>
  <c r="AC122" i="22"/>
  <c r="AD122" i="22" s="1"/>
  <c r="G124" i="9"/>
  <c r="W124" i="10" s="1"/>
  <c r="AC217" i="22"/>
  <c r="AD217" i="22" s="1"/>
  <c r="G219" i="9"/>
  <c r="W219" i="10" s="1"/>
  <c r="AC214" i="22"/>
  <c r="AD214" i="22" s="1"/>
  <c r="G216" i="9"/>
  <c r="W216" i="10" s="1"/>
  <c r="AC105" i="22"/>
  <c r="AD105" i="22" s="1"/>
  <c r="G107" i="9"/>
  <c r="W107" i="10" s="1"/>
  <c r="AC138" i="22"/>
  <c r="AD138" i="22" s="1"/>
  <c r="G140" i="9"/>
  <c r="W140" i="10" s="1"/>
  <c r="AC85" i="22"/>
  <c r="AD85" i="22" s="1"/>
  <c r="G87" i="9"/>
  <c r="W87" i="10" s="1"/>
  <c r="AC197" i="22"/>
  <c r="AD197" i="22" s="1"/>
  <c r="G199" i="9"/>
  <c r="W199" i="10" s="1"/>
  <c r="AC148" i="22"/>
  <c r="AD148" i="22" s="1"/>
  <c r="G150" i="9"/>
  <c r="W150" i="10" s="1"/>
  <c r="AC258" i="22"/>
  <c r="AD258" i="22" s="1"/>
  <c r="G260" i="9"/>
  <c r="W260" i="10" s="1"/>
  <c r="AC252" i="22"/>
  <c r="AD252" i="22" s="1"/>
  <c r="G254" i="9"/>
  <c r="W254" i="10" s="1"/>
  <c r="AC150" i="22"/>
  <c r="AD150" i="22" s="1"/>
  <c r="G152" i="9"/>
  <c r="W152" i="10" s="1"/>
  <c r="AC296" i="22"/>
  <c r="AD296" i="22" s="1"/>
  <c r="G298" i="9"/>
  <c r="W298" i="10" s="1"/>
  <c r="AC170" i="22"/>
  <c r="AD170" i="22" s="1"/>
  <c r="G172" i="9"/>
  <c r="W172" i="10" s="1"/>
  <c r="AC187" i="22"/>
  <c r="AD187" i="22" s="1"/>
  <c r="G189" i="9"/>
  <c r="W189" i="10" s="1"/>
  <c r="AC46" i="22"/>
  <c r="AD46" i="22" s="1"/>
  <c r="G48" i="9"/>
  <c r="W48" i="10" s="1"/>
  <c r="AC72" i="22"/>
  <c r="AD72" i="22" s="1"/>
  <c r="G74" i="9"/>
  <c r="W74" i="10" s="1"/>
  <c r="AC195" i="22"/>
  <c r="AD195" i="22" s="1"/>
  <c r="G197" i="9"/>
  <c r="W197" i="10" s="1"/>
  <c r="AC38" i="22"/>
  <c r="AD38" i="22" s="1"/>
  <c r="G40" i="9"/>
  <c r="W40" i="10" s="1"/>
  <c r="AC212" i="22"/>
  <c r="AD212" i="22" s="1"/>
  <c r="G214" i="9"/>
  <c r="W214" i="10" s="1"/>
  <c r="AC144" i="22"/>
  <c r="AD144" i="22" s="1"/>
  <c r="G146" i="9"/>
  <c r="W146" i="10" s="1"/>
  <c r="AC274" i="22"/>
  <c r="AD274" i="22" s="1"/>
  <c r="G276" i="9"/>
  <c r="W276" i="10" s="1"/>
  <c r="AC130" i="22"/>
  <c r="AD130" i="22" s="1"/>
  <c r="G132" i="9"/>
  <c r="W132" i="10" s="1"/>
  <c r="AC223" i="22"/>
  <c r="AD223" i="22" s="1"/>
  <c r="G225" i="9"/>
  <c r="W225" i="10" s="1"/>
  <c r="AC94" i="22"/>
  <c r="AD94" i="22" s="1"/>
  <c r="G96" i="9"/>
  <c r="W96" i="10" s="1"/>
  <c r="AC139" i="22"/>
  <c r="AD139" i="22" s="1"/>
  <c r="G141" i="9"/>
  <c r="W141" i="10" s="1"/>
  <c r="AC79" i="22"/>
  <c r="AD79" i="22" s="1"/>
  <c r="G81" i="9"/>
  <c r="W81" i="10" s="1"/>
  <c r="AC213" i="22"/>
  <c r="AD213" i="22" s="1"/>
  <c r="G215" i="9"/>
  <c r="W215" i="10" s="1"/>
  <c r="AC146" i="22"/>
  <c r="AD146" i="22" s="1"/>
  <c r="G148" i="9"/>
  <c r="W148" i="10" s="1"/>
  <c r="AC292" i="22"/>
  <c r="AD292" i="22" s="1"/>
  <c r="G294" i="9"/>
  <c r="W294" i="10" s="1"/>
  <c r="AC66" i="22"/>
  <c r="AD66" i="22" s="1"/>
  <c r="G68" i="9"/>
  <c r="W68" i="10" s="1"/>
  <c r="AC251" i="22"/>
  <c r="AD251" i="22" s="1"/>
  <c r="G253" i="9"/>
  <c r="W253" i="10" s="1"/>
  <c r="AC174" i="22"/>
  <c r="AD174" i="22" s="1"/>
  <c r="G176" i="9"/>
  <c r="W176" i="10" s="1"/>
  <c r="AC23" i="22"/>
  <c r="AD23" i="22" s="1"/>
  <c r="G25" i="9"/>
  <c r="W25" i="10" s="1"/>
  <c r="AC306" i="22"/>
  <c r="AD306" i="22" s="1"/>
  <c r="G309" i="9"/>
  <c r="W309" i="10" s="1"/>
  <c r="AC208" i="22"/>
  <c r="AD208" i="22" s="1"/>
  <c r="G211" i="9"/>
  <c r="W211" i="10" s="1"/>
  <c r="AC55" i="22"/>
  <c r="AD55" i="22" s="1"/>
  <c r="G57" i="9"/>
  <c r="W57" i="10" s="1"/>
  <c r="AC99" i="22"/>
  <c r="AD99" i="22" s="1"/>
  <c r="G101" i="9"/>
  <c r="W101" i="10" s="1"/>
  <c r="W240" i="10"/>
  <c r="AC90" i="22"/>
  <c r="AD90" i="22" s="1"/>
  <c r="G92" i="9"/>
  <c r="W92" i="10" s="1"/>
  <c r="AC164" i="22"/>
  <c r="AD164" i="22" s="1"/>
  <c r="G166" i="9"/>
  <c r="W166" i="10" s="1"/>
  <c r="AC118" i="22"/>
  <c r="AD118" i="22" s="1"/>
  <c r="G120" i="9"/>
  <c r="W120" i="10" s="1"/>
  <c r="E321" i="22"/>
  <c r="F321" i="22"/>
  <c r="D321" i="22"/>
  <c r="C321" i="22"/>
  <c r="P318" i="18"/>
  <c r="G8" i="22"/>
  <c r="U10" i="10" s="1"/>
  <c r="Q5" i="18"/>
  <c r="W22" i="10" l="1"/>
  <c r="E22" i="25"/>
  <c r="E35" i="25" s="1"/>
  <c r="E37" i="25" s="1"/>
  <c r="X312" i="10"/>
  <c r="AA8" i="22"/>
  <c r="L10" i="9" s="1"/>
  <c r="Z8" i="22"/>
  <c r="F10" i="9" s="1"/>
  <c r="S325" i="10"/>
  <c r="S327" i="10" s="1"/>
  <c r="E10" i="10"/>
  <c r="E323" i="10" s="1"/>
  <c r="AA46" i="13" s="1"/>
  <c r="AA42" i="13" s="1"/>
  <c r="D10" i="10"/>
  <c r="D323" i="10" s="1"/>
  <c r="Z46" i="13" s="1"/>
  <c r="Z42" i="13" s="1"/>
  <c r="R325" i="10"/>
  <c r="R327" i="10" s="1"/>
  <c r="T325" i="10"/>
  <c r="T327" i="10" s="1"/>
  <c r="F10" i="10"/>
  <c r="F323" i="10" s="1"/>
  <c r="AB46" i="13" s="1"/>
  <c r="AB42" i="13" s="1"/>
  <c r="G321" i="22"/>
  <c r="AA321" i="22" l="1"/>
  <c r="AC8" i="22"/>
  <c r="AD8" i="22" s="1"/>
  <c r="F323" i="9"/>
  <c r="G10" i="9"/>
  <c r="Z321" i="22"/>
  <c r="L323" i="9"/>
  <c r="M10" i="9"/>
  <c r="M323" i="9" s="1"/>
  <c r="U325" i="10"/>
  <c r="U327" i="10" s="1"/>
  <c r="G10" i="10"/>
  <c r="G323" i="10" s="1"/>
  <c r="AC46" i="13" s="1"/>
  <c r="AC42" i="13" s="1"/>
  <c r="W10" i="10" l="1"/>
  <c r="G323" i="9"/>
  <c r="K180" i="10"/>
  <c r="Q180" i="10" s="1"/>
  <c r="X180" i="10" s="1"/>
  <c r="K264" i="10"/>
  <c r="Q264" i="10" s="1"/>
  <c r="X264" i="10" s="1"/>
  <c r="K304" i="10"/>
  <c r="Q304" i="10" s="1"/>
  <c r="K62" i="10"/>
  <c r="Q62" i="10" s="1"/>
  <c r="X62" i="10" s="1"/>
  <c r="K176" i="10"/>
  <c r="Q176" i="10" s="1"/>
  <c r="X176" i="10" s="1"/>
  <c r="K81" i="10"/>
  <c r="Q81" i="10" s="1"/>
  <c r="X81" i="10" s="1"/>
  <c r="K290" i="10"/>
  <c r="Q290" i="10" s="1"/>
  <c r="X290" i="10" s="1"/>
  <c r="K103" i="10"/>
  <c r="Q103" i="10" s="1"/>
  <c r="X103" i="10" s="1"/>
  <c r="K12" i="10"/>
  <c r="Q12" i="10" s="1"/>
  <c r="X12" i="10" s="1"/>
  <c r="K157" i="10"/>
  <c r="Q157" i="10" s="1"/>
  <c r="X157" i="10" s="1"/>
  <c r="K113" i="10"/>
  <c r="Q113" i="10" s="1"/>
  <c r="X113" i="10" s="1"/>
  <c r="K60" i="10"/>
  <c r="Q60" i="10" s="1"/>
  <c r="X60" i="10" s="1"/>
  <c r="K84" i="10"/>
  <c r="Q84" i="10" s="1"/>
  <c r="X84" i="10" s="1"/>
  <c r="K51" i="10"/>
  <c r="Q51" i="10" s="1"/>
  <c r="X51" i="10" s="1"/>
  <c r="K162" i="10"/>
  <c r="Q162" i="10" s="1"/>
  <c r="X162" i="10" s="1"/>
  <c r="K228" i="10"/>
  <c r="Q228" i="10" s="1"/>
  <c r="X228" i="10" s="1"/>
  <c r="K241" i="10"/>
  <c r="Q241" i="10" s="1"/>
  <c r="X241" i="10" s="1"/>
  <c r="K151" i="10"/>
  <c r="Q151" i="10" s="1"/>
  <c r="X151" i="10" s="1"/>
  <c r="K58" i="10"/>
  <c r="Q58" i="10" s="1"/>
  <c r="X58" i="10" s="1"/>
  <c r="K41" i="10"/>
  <c r="Q41" i="10" s="1"/>
  <c r="X41" i="10" s="1"/>
  <c r="K306" i="10"/>
  <c r="Q306" i="10" s="1"/>
  <c r="K226" i="10"/>
  <c r="Q226" i="10" s="1"/>
  <c r="X226" i="10" s="1"/>
  <c r="K178" i="10"/>
  <c r="Q178" i="10" s="1"/>
  <c r="X178" i="10" s="1"/>
  <c r="K251" i="10"/>
  <c r="Q251" i="10" s="1"/>
  <c r="X251" i="10" s="1"/>
  <c r="K39" i="10"/>
  <c r="Q39" i="10" s="1"/>
  <c r="X39" i="10" s="1"/>
  <c r="K24" i="10"/>
  <c r="Q24" i="10" s="1"/>
  <c r="X24" i="10" s="1"/>
  <c r="K140" i="10"/>
  <c r="Q140" i="10" s="1"/>
  <c r="X140" i="10" s="1"/>
  <c r="K69" i="10"/>
  <c r="Q69" i="10" s="1"/>
  <c r="X69" i="10" s="1"/>
  <c r="K114" i="10"/>
  <c r="Q114" i="10" s="1"/>
  <c r="X114" i="10" s="1"/>
  <c r="K130" i="10"/>
  <c r="Q130" i="10" s="1"/>
  <c r="X130" i="10" s="1"/>
  <c r="K260" i="10"/>
  <c r="Q260" i="10" s="1"/>
  <c r="X260" i="10" s="1"/>
  <c r="K43" i="10"/>
  <c r="Q43" i="10" s="1"/>
  <c r="X43" i="10" s="1"/>
  <c r="K32" i="10"/>
  <c r="Q32" i="10" s="1"/>
  <c r="X32" i="10" s="1"/>
  <c r="K18" i="10"/>
  <c r="Q18" i="10" s="1"/>
  <c r="X18" i="10" s="1"/>
  <c r="K93" i="10"/>
  <c r="Q93" i="10" s="1"/>
  <c r="X93" i="10" s="1"/>
  <c r="K274" i="10"/>
  <c r="Q274" i="10" s="1"/>
  <c r="X274" i="10" s="1"/>
  <c r="K169" i="10"/>
  <c r="Q169" i="10" s="1"/>
  <c r="X169" i="10" s="1"/>
  <c r="K299" i="10"/>
  <c r="Q299" i="10" s="1"/>
  <c r="X299" i="10" s="1"/>
  <c r="K204" i="10"/>
  <c r="Q204" i="10" s="1"/>
  <c r="X204" i="10" s="1"/>
  <c r="K279" i="10"/>
  <c r="Q279" i="10" s="1"/>
  <c r="X279" i="10" s="1"/>
  <c r="K106" i="10"/>
  <c r="Q106" i="10" s="1"/>
  <c r="X106" i="10" s="1"/>
  <c r="K77" i="10"/>
  <c r="Q77" i="10" s="1"/>
  <c r="X77" i="10" s="1"/>
  <c r="K56" i="10"/>
  <c r="Q56" i="10" s="1"/>
  <c r="X56" i="10" s="1"/>
  <c r="K219" i="10"/>
  <c r="Q219" i="10" s="1"/>
  <c r="X219" i="10" s="1"/>
  <c r="K203" i="10"/>
  <c r="Q203" i="10" s="1"/>
  <c r="X203" i="10" s="1"/>
  <c r="K291" i="10"/>
  <c r="Q291" i="10" s="1"/>
  <c r="X291" i="10" s="1"/>
  <c r="K131" i="10"/>
  <c r="Q131" i="10" s="1"/>
  <c r="X131" i="10" s="1"/>
  <c r="K278" i="10"/>
  <c r="Q278" i="10" s="1"/>
  <c r="X278" i="10" s="1"/>
  <c r="K50" i="10"/>
  <c r="Q50" i="10" s="1"/>
  <c r="X50" i="10" s="1"/>
  <c r="K164" i="10"/>
  <c r="Q164" i="10" s="1"/>
  <c r="X164" i="10" s="1"/>
  <c r="K248" i="10"/>
  <c r="Q248" i="10" s="1"/>
  <c r="X248" i="10" s="1"/>
  <c r="K263" i="10"/>
  <c r="Q263" i="10" s="1"/>
  <c r="X263" i="10" s="1"/>
  <c r="K175" i="10"/>
  <c r="Q175" i="10" s="1"/>
  <c r="X175" i="10" s="1"/>
  <c r="K107" i="10"/>
  <c r="Q107" i="10" s="1"/>
  <c r="X107" i="10" s="1"/>
  <c r="K80" i="10"/>
  <c r="Q80" i="10" s="1"/>
  <c r="X80" i="10" s="1"/>
  <c r="K206" i="10"/>
  <c r="Q206" i="10" s="1"/>
  <c r="X206" i="10" s="1"/>
  <c r="K115" i="10"/>
  <c r="Q115" i="10" s="1"/>
  <c r="X115" i="10" s="1"/>
  <c r="K68" i="10"/>
  <c r="Q68" i="10" s="1"/>
  <c r="X68" i="10" s="1"/>
  <c r="K95" i="10"/>
  <c r="Q95" i="10" s="1"/>
  <c r="X95" i="10" s="1"/>
  <c r="K225" i="10"/>
  <c r="Q225" i="10" s="1"/>
  <c r="X225" i="10" s="1"/>
  <c r="K262" i="10"/>
  <c r="Q262" i="10" s="1"/>
  <c r="X262" i="10" s="1"/>
  <c r="K72" i="10"/>
  <c r="Q72" i="10" s="1"/>
  <c r="X72" i="10" s="1"/>
  <c r="K245" i="10"/>
  <c r="Q245" i="10" s="1"/>
  <c r="X245" i="10" s="1"/>
  <c r="K261" i="10"/>
  <c r="Q261" i="10" s="1"/>
  <c r="X261" i="10" s="1"/>
  <c r="K124" i="10"/>
  <c r="Q124" i="10" s="1"/>
  <c r="K172" i="10"/>
  <c r="Q172" i="10" s="1"/>
  <c r="X172" i="10" s="1"/>
  <c r="K250" i="10"/>
  <c r="Q250" i="10" s="1"/>
  <c r="K21" i="10"/>
  <c r="Q21" i="10" s="1"/>
  <c r="X21" i="10" s="1"/>
  <c r="K207" i="10"/>
  <c r="Q207" i="10" s="1"/>
  <c r="K26" i="10"/>
  <c r="Q26" i="10" s="1"/>
  <c r="X26" i="10" s="1"/>
  <c r="K74" i="10"/>
  <c r="Q74" i="10" s="1"/>
  <c r="K192" i="10"/>
  <c r="Q192" i="10" s="1"/>
  <c r="X192" i="10" s="1"/>
  <c r="K276" i="10"/>
  <c r="Q276" i="10" s="1"/>
  <c r="K158" i="10"/>
  <c r="Q158" i="10" s="1"/>
  <c r="X158" i="10" s="1"/>
  <c r="K209" i="10"/>
  <c r="Q209" i="10" s="1"/>
  <c r="K285" i="10"/>
  <c r="Q285" i="10" s="1"/>
  <c r="X285" i="10" s="1"/>
  <c r="K129" i="10"/>
  <c r="Q129" i="10" s="1"/>
  <c r="K99" i="10"/>
  <c r="Q99" i="10" s="1"/>
  <c r="X99" i="10" s="1"/>
  <c r="K301" i="10"/>
  <c r="Q301" i="10" s="1"/>
  <c r="K288" i="10"/>
  <c r="Q288" i="10" s="1"/>
  <c r="X288" i="10" s="1"/>
  <c r="K234" i="10"/>
  <c r="Q234" i="10" s="1"/>
  <c r="K289" i="10"/>
  <c r="Q289" i="10" s="1"/>
  <c r="X289" i="10" s="1"/>
  <c r="K231" i="10"/>
  <c r="Q231" i="10" s="1"/>
  <c r="K117" i="10"/>
  <c r="Q117" i="10" s="1"/>
  <c r="X117" i="10" s="1"/>
  <c r="K64" i="10"/>
  <c r="Q64" i="10" s="1"/>
  <c r="K167" i="10"/>
  <c r="Q167" i="10" s="1"/>
  <c r="X167" i="10" s="1"/>
  <c r="K59" i="10"/>
  <c r="Q59" i="10" s="1"/>
  <c r="K88" i="10"/>
  <c r="Q88" i="10" s="1"/>
  <c r="X88" i="10" s="1"/>
  <c r="K78" i="10"/>
  <c r="Q78" i="10" s="1"/>
  <c r="K146" i="10"/>
  <c r="Q146" i="10" s="1"/>
  <c r="X146" i="10" s="1"/>
  <c r="K166" i="10"/>
  <c r="Q166" i="10" s="1"/>
  <c r="K127" i="10"/>
  <c r="Q127" i="10" s="1"/>
  <c r="X127" i="10" s="1"/>
  <c r="K13" i="10"/>
  <c r="Q13" i="10" s="1"/>
  <c r="K227" i="10"/>
  <c r="Q227" i="10" s="1"/>
  <c r="X227" i="10" s="1"/>
  <c r="K102" i="10"/>
  <c r="Q102" i="10" s="1"/>
  <c r="K156" i="10"/>
  <c r="Q156" i="10" s="1"/>
  <c r="X156" i="10" s="1"/>
  <c r="K253" i="10"/>
  <c r="Q253" i="10" s="1"/>
  <c r="K148" i="10"/>
  <c r="Q148" i="10" s="1"/>
  <c r="X148" i="10" s="1"/>
  <c r="K163" i="10"/>
  <c r="Q163" i="10" s="1"/>
  <c r="K44" i="10"/>
  <c r="Q44" i="10" s="1"/>
  <c r="X44" i="10" s="1"/>
  <c r="K211" i="10"/>
  <c r="Q211" i="10" s="1"/>
  <c r="K249" i="10"/>
  <c r="Q249" i="10" s="1"/>
  <c r="X249" i="10" s="1"/>
  <c r="K45" i="10"/>
  <c r="Q45" i="10" s="1"/>
  <c r="K268" i="10"/>
  <c r="Q268" i="10" s="1"/>
  <c r="X268" i="10" s="1"/>
  <c r="K270" i="10"/>
  <c r="Q270" i="10" s="1"/>
  <c r="K233" i="10"/>
  <c r="Q233" i="10" s="1"/>
  <c r="X233" i="10" s="1"/>
  <c r="K133" i="10"/>
  <c r="Q133" i="10" s="1"/>
  <c r="K240" i="10"/>
  <c r="Q240" i="10" s="1"/>
  <c r="X240" i="10" s="1"/>
  <c r="K222" i="10"/>
  <c r="Q222" i="10" s="1"/>
  <c r="K23" i="10"/>
  <c r="Q23" i="10" s="1"/>
  <c r="X23" i="10" s="1"/>
  <c r="K36" i="10"/>
  <c r="Q36" i="10" s="1"/>
  <c r="K229" i="10"/>
  <c r="Q229" i="10" s="1"/>
  <c r="X229" i="10" s="1"/>
  <c r="K150" i="10"/>
  <c r="Q150" i="10" s="1"/>
  <c r="K82" i="10"/>
  <c r="Q82" i="10" s="1"/>
  <c r="X82" i="10" s="1"/>
  <c r="K152" i="10"/>
  <c r="Q152" i="10" s="1"/>
  <c r="K218" i="10"/>
  <c r="Q218" i="10" s="1"/>
  <c r="X218" i="10" s="1"/>
  <c r="K293" i="10"/>
  <c r="Q293" i="10" s="1"/>
  <c r="K42" i="10"/>
  <c r="Q42" i="10" s="1"/>
  <c r="X42" i="10" s="1"/>
  <c r="K31" i="10"/>
  <c r="Q31" i="10" s="1"/>
  <c r="K265" i="10"/>
  <c r="Q265" i="10" s="1"/>
  <c r="X265" i="10" s="1"/>
  <c r="K220" i="10"/>
  <c r="Q220" i="10" s="1"/>
  <c r="K247" i="10"/>
  <c r="Q247" i="10" s="1"/>
  <c r="X247" i="10" s="1"/>
  <c r="K282" i="10"/>
  <c r="Q282" i="10" s="1"/>
  <c r="K230" i="10"/>
  <c r="Q230" i="10" s="1"/>
  <c r="X230" i="10" s="1"/>
  <c r="K46" i="10"/>
  <c r="Q46" i="10" s="1"/>
  <c r="K142" i="10"/>
  <c r="Q142" i="10" s="1"/>
  <c r="X142" i="10" s="1"/>
  <c r="K257" i="10"/>
  <c r="Q257" i="10" s="1"/>
  <c r="K76" i="10"/>
  <c r="Q76" i="10" s="1"/>
  <c r="X76" i="10" s="1"/>
  <c r="K33" i="10"/>
  <c r="Q33" i="10" s="1"/>
  <c r="K216" i="10"/>
  <c r="Q216" i="10" s="1"/>
  <c r="X216" i="10" s="1"/>
  <c r="K168" i="10"/>
  <c r="Q168" i="10" s="1"/>
  <c r="K132" i="10"/>
  <c r="Q132" i="10" s="1"/>
  <c r="X132" i="10" s="1"/>
  <c r="K94" i="10"/>
  <c r="Q94" i="10" s="1"/>
  <c r="K92" i="10"/>
  <c r="Q92" i="10" s="1"/>
  <c r="X92" i="10" s="1"/>
  <c r="K186" i="10"/>
  <c r="Q186" i="10" s="1"/>
  <c r="K235" i="10"/>
  <c r="Q235" i="10" s="1"/>
  <c r="X235" i="10" s="1"/>
  <c r="K177" i="10"/>
  <c r="Q177" i="10" s="1"/>
  <c r="K27" i="10"/>
  <c r="Q27" i="10" s="1"/>
  <c r="X27" i="10" s="1"/>
  <c r="K187" i="10"/>
  <c r="Q187" i="10" s="1"/>
  <c r="K65" i="10"/>
  <c r="Q65" i="10" s="1"/>
  <c r="X65" i="10" s="1"/>
  <c r="K90" i="10"/>
  <c r="Q90" i="10" s="1"/>
  <c r="K83" i="10"/>
  <c r="Q83" i="10" s="1"/>
  <c r="X83" i="10" s="1"/>
  <c r="K184" i="10"/>
  <c r="Q184" i="10" s="1"/>
  <c r="K91" i="10"/>
  <c r="Q91" i="10" s="1"/>
  <c r="X91" i="10" s="1"/>
  <c r="K29" i="10"/>
  <c r="Q29" i="10" s="1"/>
  <c r="K38" i="10"/>
  <c r="Q38" i="10" s="1"/>
  <c r="X38" i="10" s="1"/>
  <c r="K110" i="10"/>
  <c r="Q110" i="10" s="1"/>
  <c r="K55" i="10"/>
  <c r="Q55" i="10" s="1"/>
  <c r="X55" i="10" s="1"/>
  <c r="K53" i="10"/>
  <c r="Q53" i="10" s="1"/>
  <c r="K96" i="10"/>
  <c r="Q96" i="10" s="1"/>
  <c r="X96" i="10" s="1"/>
  <c r="K37" i="10"/>
  <c r="Q37" i="10" s="1"/>
  <c r="X37" i="10" s="1"/>
  <c r="K144" i="10"/>
  <c r="Q144" i="10" s="1"/>
  <c r="X144" i="10" s="1"/>
  <c r="K19" i="10"/>
  <c r="Q19" i="10" s="1"/>
  <c r="K161" i="10"/>
  <c r="Q161" i="10" s="1"/>
  <c r="X161" i="10" s="1"/>
  <c r="K116" i="10"/>
  <c r="Q116" i="10" s="1"/>
  <c r="K153" i="10"/>
  <c r="Q153" i="10" s="1"/>
  <c r="X153" i="10" s="1"/>
  <c r="K310" i="10"/>
  <c r="Q310" i="10" s="1"/>
  <c r="C310" i="10" s="1"/>
  <c r="K101" i="10"/>
  <c r="Q101" i="10" s="1"/>
  <c r="X101" i="10" s="1"/>
  <c r="K242" i="10"/>
  <c r="Q242" i="10" s="1"/>
  <c r="X242" i="10" s="1"/>
  <c r="K256" i="10"/>
  <c r="Q256" i="10" s="1"/>
  <c r="X256" i="10" s="1"/>
  <c r="K294" i="10"/>
  <c r="Q294" i="10" s="1"/>
  <c r="K149" i="10"/>
  <c r="Q149" i="10" s="1"/>
  <c r="X149" i="10" s="1"/>
  <c r="K63" i="10"/>
  <c r="Q63" i="10" s="1"/>
  <c r="K185" i="10"/>
  <c r="Q185" i="10" s="1"/>
  <c r="X185" i="10" s="1"/>
  <c r="K292" i="10"/>
  <c r="Q292" i="10" s="1"/>
  <c r="K118" i="10"/>
  <c r="Q118" i="10" s="1"/>
  <c r="X118" i="10" s="1"/>
  <c r="K165" i="10"/>
  <c r="Q165" i="10" s="1"/>
  <c r="K87" i="10"/>
  <c r="Q87" i="10" s="1"/>
  <c r="X87" i="10" s="1"/>
  <c r="K258" i="10"/>
  <c r="Q258" i="10" s="1"/>
  <c r="X258" i="10" s="1"/>
  <c r="K195" i="10"/>
  <c r="Q195" i="10" s="1"/>
  <c r="X195" i="10" s="1"/>
  <c r="K259" i="10"/>
  <c r="Q259" i="10" s="1"/>
  <c r="X259" i="10" s="1"/>
  <c r="K139" i="10"/>
  <c r="Q139" i="10" s="1"/>
  <c r="X139" i="10" s="1"/>
  <c r="K237" i="10"/>
  <c r="Q237" i="10" s="1"/>
  <c r="X237" i="10" s="1"/>
  <c r="K119" i="10"/>
  <c r="Q119" i="10" s="1"/>
  <c r="X119" i="10" s="1"/>
  <c r="K75" i="10"/>
  <c r="Q75" i="10" s="1"/>
  <c r="X75" i="10" s="1"/>
  <c r="K300" i="10"/>
  <c r="Q300" i="10" s="1"/>
  <c r="X300" i="10" s="1"/>
  <c r="K137" i="10"/>
  <c r="Q137" i="10" s="1"/>
  <c r="X137" i="10" s="1"/>
  <c r="K239" i="10"/>
  <c r="Q239" i="10" s="1"/>
  <c r="X239" i="10" s="1"/>
  <c r="K243" i="10"/>
  <c r="Q243" i="10" s="1"/>
  <c r="X243" i="10" s="1"/>
  <c r="K174" i="10"/>
  <c r="Q174" i="10" s="1"/>
  <c r="X174" i="10" s="1"/>
  <c r="K193" i="10"/>
  <c r="Q193" i="10" s="1"/>
  <c r="X193" i="10" s="1"/>
  <c r="K286" i="10"/>
  <c r="Q286" i="10" s="1"/>
  <c r="X286" i="10" s="1"/>
  <c r="K246" i="10"/>
  <c r="Q246" i="10" s="1"/>
  <c r="X246" i="10" s="1"/>
  <c r="K252" i="10"/>
  <c r="Q252" i="10" s="1"/>
  <c r="X252" i="10" s="1"/>
  <c r="K97" i="10"/>
  <c r="Q97" i="10" s="1"/>
  <c r="X97" i="10" s="1"/>
  <c r="K104" i="10"/>
  <c r="Q104" i="10" s="1"/>
  <c r="X104" i="10" s="1"/>
  <c r="K302" i="10"/>
  <c r="Q302" i="10" s="1"/>
  <c r="X302" i="10" s="1"/>
  <c r="K14" i="10"/>
  <c r="Q14" i="10" s="1"/>
  <c r="X14" i="10" s="1"/>
  <c r="K194" i="10"/>
  <c r="Q194" i="10" s="1"/>
  <c r="X194" i="10" s="1"/>
  <c r="K143" i="10"/>
  <c r="Q143" i="10" s="1"/>
  <c r="X143" i="10" s="1"/>
  <c r="K298" i="10"/>
  <c r="Q298" i="10" s="1"/>
  <c r="X298" i="10" s="1"/>
  <c r="K67" i="10"/>
  <c r="Q67" i="10" s="1"/>
  <c r="X67" i="10" s="1"/>
  <c r="K57" i="10"/>
  <c r="Q57" i="10" s="1"/>
  <c r="X57" i="10" s="1"/>
  <c r="K147" i="10"/>
  <c r="Q147" i="10" s="1"/>
  <c r="X147" i="10" s="1"/>
  <c r="K271" i="10"/>
  <c r="Q271" i="10" s="1"/>
  <c r="X271" i="10" s="1"/>
  <c r="K28" i="10"/>
  <c r="Q28" i="10" s="1"/>
  <c r="X28" i="10" s="1"/>
  <c r="K40" i="10"/>
  <c r="Q40" i="10" s="1"/>
  <c r="X40" i="10" s="1"/>
  <c r="K34" i="10"/>
  <c r="Q34" i="10" s="1"/>
  <c r="X34" i="10" s="1"/>
  <c r="K189" i="10"/>
  <c r="Q189" i="10" s="1"/>
  <c r="X189" i="10" s="1"/>
  <c r="K214" i="10"/>
  <c r="Q214" i="10" s="1"/>
  <c r="X214" i="10" s="1"/>
  <c r="K183" i="10"/>
  <c r="Q183" i="10" s="1"/>
  <c r="X183" i="10" s="1"/>
  <c r="K272" i="10"/>
  <c r="Q272" i="10" s="1"/>
  <c r="X272" i="10" s="1"/>
  <c r="K309" i="10"/>
  <c r="Q309" i="10" s="1"/>
  <c r="X309" i="10" s="1"/>
  <c r="K85" i="10"/>
  <c r="Q85" i="10" s="1"/>
  <c r="X85" i="10" s="1"/>
  <c r="K170" i="10"/>
  <c r="Q170" i="10" s="1"/>
  <c r="X170" i="10" s="1"/>
  <c r="K217" i="10"/>
  <c r="Q217" i="10" s="1"/>
  <c r="X217" i="10" s="1"/>
  <c r="K16" i="10"/>
  <c r="Q16" i="10" s="1"/>
  <c r="X16" i="10" s="1"/>
  <c r="K202" i="10"/>
  <c r="Q202" i="10" s="1"/>
  <c r="X202" i="10" s="1"/>
  <c r="K223" i="10"/>
  <c r="Q223" i="10" s="1"/>
  <c r="X223" i="10" s="1"/>
  <c r="K205" i="10"/>
  <c r="Q205" i="10" s="1"/>
  <c r="X205" i="10" s="1"/>
  <c r="K197" i="10"/>
  <c r="Q197" i="10" s="1"/>
  <c r="X197" i="10" s="1"/>
  <c r="K210" i="10"/>
  <c r="Q210" i="10" s="1"/>
  <c r="X210" i="10" s="1"/>
  <c r="K221" i="10"/>
  <c r="Q221" i="10" s="1"/>
  <c r="X221" i="10" s="1"/>
  <c r="K191" i="10"/>
  <c r="Q191" i="10" s="1"/>
  <c r="X191" i="10" s="1"/>
  <c r="K199" i="10"/>
  <c r="Q199" i="10" s="1"/>
  <c r="X199" i="10" s="1"/>
  <c r="K200" i="10"/>
  <c r="Q200" i="10" s="1"/>
  <c r="X200" i="10" s="1"/>
  <c r="K267" i="10"/>
  <c r="Q267" i="10" s="1"/>
  <c r="X267" i="10" s="1"/>
  <c r="K275" i="10"/>
  <c r="Q275" i="10" s="1"/>
  <c r="X275" i="10" s="1"/>
  <c r="K25" i="10"/>
  <c r="Q25" i="10" s="1"/>
  <c r="X25" i="10" s="1"/>
  <c r="K307" i="10"/>
  <c r="Q307" i="10" s="1"/>
  <c r="K201" i="10"/>
  <c r="Q201" i="10" s="1"/>
  <c r="X201" i="10" s="1"/>
  <c r="K20" i="10"/>
  <c r="Q20" i="10" s="1"/>
  <c r="X20" i="10" s="1"/>
  <c r="K126" i="10"/>
  <c r="Q126" i="10" s="1"/>
  <c r="X126" i="10" s="1"/>
  <c r="K196" i="10"/>
  <c r="Q196" i="10" s="1"/>
  <c r="X196" i="10" s="1"/>
  <c r="K125" i="10"/>
  <c r="Q125" i="10" s="1"/>
  <c r="X125" i="10" s="1"/>
  <c r="K281" i="10"/>
  <c r="Q281" i="10" s="1"/>
  <c r="X281" i="10" s="1"/>
  <c r="K255" i="10"/>
  <c r="Q255" i="10" s="1"/>
  <c r="X255" i="10" s="1"/>
  <c r="K66" i="10"/>
  <c r="Q66" i="10" s="1"/>
  <c r="X66" i="10" s="1"/>
  <c r="K182" i="10"/>
  <c r="Q182" i="10" s="1"/>
  <c r="X182" i="10" s="1"/>
  <c r="K141" i="10"/>
  <c r="Q141" i="10" s="1"/>
  <c r="X141" i="10" s="1"/>
  <c r="K224" i="10"/>
  <c r="Q224" i="10" s="1"/>
  <c r="X224" i="10" s="1"/>
  <c r="K86" i="10"/>
  <c r="Q86" i="10" s="1"/>
  <c r="X86" i="10" s="1"/>
  <c r="K213" i="10"/>
  <c r="Q213" i="10" s="1"/>
  <c r="X213" i="10" s="1"/>
  <c r="K198" i="10"/>
  <c r="Q198" i="10" s="1"/>
  <c r="X198" i="10" s="1"/>
  <c r="K71" i="10"/>
  <c r="Q71" i="10" s="1"/>
  <c r="X71" i="10" s="1"/>
  <c r="K145" i="10"/>
  <c r="Q145" i="10" s="1"/>
  <c r="X145" i="10" s="1"/>
  <c r="K109" i="10"/>
  <c r="Q109" i="10" s="1"/>
  <c r="X109" i="10" s="1"/>
  <c r="K287" i="10"/>
  <c r="Q287" i="10" s="1"/>
  <c r="X287" i="10" s="1"/>
  <c r="K232" i="10"/>
  <c r="Q232" i="10" s="1"/>
  <c r="X232" i="10" s="1"/>
  <c r="K89" i="10"/>
  <c r="Q89" i="10" s="1"/>
  <c r="X89" i="10" s="1"/>
  <c r="K98" i="10"/>
  <c r="Q98" i="10" s="1"/>
  <c r="X98" i="10" s="1"/>
  <c r="K179" i="10"/>
  <c r="Q179" i="10" s="1"/>
  <c r="X179" i="10" s="1"/>
  <c r="K303" i="10"/>
  <c r="Q303" i="10" s="1"/>
  <c r="X303" i="10" s="1"/>
  <c r="K297" i="10"/>
  <c r="Q297" i="10" s="1"/>
  <c r="X297" i="10" s="1"/>
  <c r="K266" i="10"/>
  <c r="Q266" i="10" s="1"/>
  <c r="X266" i="10" s="1"/>
  <c r="K190" i="10"/>
  <c r="Q190" i="10" s="1"/>
  <c r="X190" i="10" s="1"/>
  <c r="K52" i="10"/>
  <c r="Q52" i="10" s="1"/>
  <c r="X52" i="10" s="1"/>
  <c r="K100" i="10"/>
  <c r="Q100" i="10" s="1"/>
  <c r="X100" i="10" s="1"/>
  <c r="K295" i="10"/>
  <c r="Q295" i="10" s="1"/>
  <c r="X295" i="10" s="1"/>
  <c r="K120" i="10"/>
  <c r="Q120" i="10" s="1"/>
  <c r="X120" i="10" s="1"/>
  <c r="K17" i="10"/>
  <c r="Q17" i="10" s="1"/>
  <c r="X17" i="10" s="1"/>
  <c r="K128" i="10"/>
  <c r="Q128" i="10" s="1"/>
  <c r="X128" i="10" s="1"/>
  <c r="K215" i="10"/>
  <c r="Q215" i="10" s="1"/>
  <c r="X215" i="10" s="1"/>
  <c r="K123" i="10"/>
  <c r="Q123" i="10" s="1"/>
  <c r="X123" i="10" s="1"/>
  <c r="K284" i="10"/>
  <c r="Q284" i="10" s="1"/>
  <c r="X284" i="10" s="1"/>
  <c r="K212" i="10"/>
  <c r="Q212" i="10" s="1"/>
  <c r="X212" i="10" s="1"/>
  <c r="K54" i="10"/>
  <c r="Q54" i="10" s="1"/>
  <c r="X54" i="10" s="1"/>
  <c r="K154" i="10"/>
  <c r="Q154" i="10" s="1"/>
  <c r="X154" i="10" s="1"/>
  <c r="K105" i="10"/>
  <c r="Q105" i="10" s="1"/>
  <c r="X105" i="10" s="1"/>
  <c r="K111" i="10"/>
  <c r="Q111" i="10" s="1"/>
  <c r="X111" i="10" s="1"/>
  <c r="K49" i="10"/>
  <c r="Q49" i="10" s="1"/>
  <c r="X49" i="10" s="1"/>
  <c r="K108" i="10"/>
  <c r="Q108" i="10" s="1"/>
  <c r="X108" i="10" s="1"/>
  <c r="K22" i="10"/>
  <c r="Q22" i="10" s="1"/>
  <c r="X22" i="10" s="1"/>
  <c r="K112" i="10"/>
  <c r="Q112" i="10" s="1"/>
  <c r="X112" i="10" s="1"/>
  <c r="K280" i="10"/>
  <c r="Q280" i="10" s="1"/>
  <c r="X280" i="10" s="1"/>
  <c r="K173" i="10"/>
  <c r="Q173" i="10" s="1"/>
  <c r="X173" i="10" s="1"/>
  <c r="K135" i="10"/>
  <c r="Q135" i="10" s="1"/>
  <c r="X135" i="10" s="1"/>
  <c r="K311" i="10"/>
  <c r="Q311" i="10" s="1"/>
  <c r="K61" i="10"/>
  <c r="Q61" i="10" s="1"/>
  <c r="X61" i="10" s="1"/>
  <c r="K188" i="10"/>
  <c r="Q188" i="10" s="1"/>
  <c r="X188" i="10" s="1"/>
  <c r="K181" i="10"/>
  <c r="Q181" i="10" s="1"/>
  <c r="X181" i="10" s="1"/>
  <c r="K79" i="10"/>
  <c r="Q79" i="10" s="1"/>
  <c r="X79" i="10" s="1"/>
  <c r="K30" i="10"/>
  <c r="Q30" i="10" s="1"/>
  <c r="X30" i="10" s="1"/>
  <c r="K122" i="10"/>
  <c r="Q122" i="10" s="1"/>
  <c r="X122" i="10" s="1"/>
  <c r="K48" i="10"/>
  <c r="Q48" i="10" s="1"/>
  <c r="X48" i="10" s="1"/>
  <c r="K269" i="10"/>
  <c r="Q269" i="10" s="1"/>
  <c r="X269" i="10" s="1"/>
  <c r="K121" i="10"/>
  <c r="Q121" i="10" s="1"/>
  <c r="K273" i="10"/>
  <c r="Q273" i="10" s="1"/>
  <c r="X273" i="10" s="1"/>
  <c r="K159" i="10"/>
  <c r="Q159" i="10" s="1"/>
  <c r="X159" i="10" s="1"/>
  <c r="K171" i="10"/>
  <c r="Q171" i="10" s="1"/>
  <c r="X171" i="10" s="1"/>
  <c r="K208" i="10"/>
  <c r="Q208" i="10" s="1"/>
  <c r="X208" i="10" s="1"/>
  <c r="K254" i="10"/>
  <c r="Q254" i="10" s="1"/>
  <c r="X254" i="10" s="1"/>
  <c r="K160" i="10"/>
  <c r="Q160" i="10" s="1"/>
  <c r="X160" i="10" s="1"/>
  <c r="K47" i="10"/>
  <c r="Q47" i="10" s="1"/>
  <c r="X47" i="10" s="1"/>
  <c r="K73" i="10"/>
  <c r="Q73" i="10" s="1"/>
  <c r="K277" i="10"/>
  <c r="Q277" i="10" s="1"/>
  <c r="X277" i="10" s="1"/>
  <c r="K11" i="10"/>
  <c r="Q11" i="10" s="1"/>
  <c r="X11" i="10" s="1"/>
  <c r="K136" i="10"/>
  <c r="Q136" i="10" s="1"/>
  <c r="X136" i="10" s="1"/>
  <c r="K70" i="10"/>
  <c r="Q70" i="10" s="1"/>
  <c r="X70" i="10" s="1"/>
  <c r="Q308" i="10"/>
  <c r="K138" i="10"/>
  <c r="Q138" i="10" s="1"/>
  <c r="X138" i="10" s="1"/>
  <c r="K236" i="10"/>
  <c r="Q236" i="10" s="1"/>
  <c r="X236" i="10" s="1"/>
  <c r="K134" i="10"/>
  <c r="Q134" i="10" s="1"/>
  <c r="K296" i="10"/>
  <c r="Q296" i="10" s="1"/>
  <c r="X296" i="10" s="1"/>
  <c r="K35" i="10"/>
  <c r="Q35" i="10" s="1"/>
  <c r="X35" i="10" s="1"/>
  <c r="K155" i="10"/>
  <c r="Q155" i="10" s="1"/>
  <c r="X155" i="10" s="1"/>
  <c r="K244" i="10"/>
  <c r="Q244" i="10" s="1"/>
  <c r="X244" i="10" s="1"/>
  <c r="K283" i="10"/>
  <c r="Q283" i="10" s="1"/>
  <c r="X283" i="10" s="1"/>
  <c r="K305" i="10"/>
  <c r="Q305" i="10" s="1"/>
  <c r="K15" i="10"/>
  <c r="Q15" i="10" s="1"/>
  <c r="K327" i="10"/>
  <c r="K10" i="10"/>
  <c r="K238" i="10"/>
  <c r="Q238" i="10" s="1"/>
  <c r="C211" i="10" l="1"/>
  <c r="X211" i="10"/>
  <c r="C129" i="10"/>
  <c r="X129" i="10"/>
  <c r="C15" i="10"/>
  <c r="X15" i="10"/>
  <c r="C134" i="10"/>
  <c r="X134" i="10"/>
  <c r="C293" i="10"/>
  <c r="X293" i="10"/>
  <c r="C63" i="10"/>
  <c r="X63" i="10"/>
  <c r="C116" i="10"/>
  <c r="X116" i="10"/>
  <c r="C110" i="10"/>
  <c r="X110" i="10"/>
  <c r="C187" i="10"/>
  <c r="X187" i="10"/>
  <c r="C168" i="10"/>
  <c r="X168" i="10"/>
  <c r="C282" i="10"/>
  <c r="X282" i="10"/>
  <c r="C152" i="10"/>
  <c r="X152" i="10"/>
  <c r="C133" i="10"/>
  <c r="X133" i="10"/>
  <c r="C163" i="10"/>
  <c r="X163" i="10"/>
  <c r="C166" i="10"/>
  <c r="X166" i="10"/>
  <c r="C231" i="10"/>
  <c r="X231" i="10"/>
  <c r="C209" i="10"/>
  <c r="X209" i="10"/>
  <c r="C250" i="10"/>
  <c r="X250" i="10"/>
  <c r="C222" i="10"/>
  <c r="X222" i="10"/>
  <c r="C53" i="10"/>
  <c r="X53" i="10"/>
  <c r="C46" i="10"/>
  <c r="X46" i="10"/>
  <c r="C13" i="10"/>
  <c r="X13" i="10"/>
  <c r="C305" i="10"/>
  <c r="X305" i="10"/>
  <c r="C294" i="10"/>
  <c r="X294" i="10"/>
  <c r="C19" i="10"/>
  <c r="X19" i="10"/>
  <c r="C29" i="10"/>
  <c r="X29" i="10"/>
  <c r="C177" i="10"/>
  <c r="X177" i="10"/>
  <c r="C33" i="10"/>
  <c r="X33" i="10"/>
  <c r="C220" i="10"/>
  <c r="X220" i="10"/>
  <c r="C150" i="10"/>
  <c r="X150" i="10"/>
  <c r="C270" i="10"/>
  <c r="X270" i="10"/>
  <c r="C253" i="10"/>
  <c r="X253" i="10"/>
  <c r="C78" i="10"/>
  <c r="X78" i="10"/>
  <c r="C234" i="10"/>
  <c r="X234" i="10"/>
  <c r="C276" i="10"/>
  <c r="X276" i="10"/>
  <c r="C124" i="10"/>
  <c r="X124" i="10"/>
  <c r="C73" i="10"/>
  <c r="X73" i="10"/>
  <c r="C90" i="10"/>
  <c r="X90" i="10"/>
  <c r="C207" i="10"/>
  <c r="X207" i="10"/>
  <c r="C121" i="10"/>
  <c r="X121" i="10"/>
  <c r="C292" i="10"/>
  <c r="X292" i="10"/>
  <c r="C94" i="10"/>
  <c r="X94" i="10"/>
  <c r="C64" i="10"/>
  <c r="X64" i="10"/>
  <c r="C238" i="10"/>
  <c r="X238" i="10"/>
  <c r="C165" i="10"/>
  <c r="X165" i="10"/>
  <c r="C184" i="10"/>
  <c r="X184" i="10"/>
  <c r="C186" i="10"/>
  <c r="X186" i="10"/>
  <c r="C257" i="10"/>
  <c r="X257" i="10"/>
  <c r="C31" i="10"/>
  <c r="X31" i="10"/>
  <c r="C36" i="10"/>
  <c r="X36" i="10"/>
  <c r="C45" i="10"/>
  <c r="X45" i="10"/>
  <c r="C102" i="10"/>
  <c r="X102" i="10"/>
  <c r="C59" i="10"/>
  <c r="X59" i="10"/>
  <c r="C301" i="10"/>
  <c r="X301" i="10"/>
  <c r="C74" i="10"/>
  <c r="X74" i="10"/>
  <c r="Q10" i="10"/>
  <c r="X10" i="10" s="1"/>
  <c r="C159" i="10"/>
  <c r="C97" i="10"/>
  <c r="C11" i="10"/>
  <c r="C35" i="10"/>
  <c r="C194" i="10"/>
  <c r="C75" i="10"/>
  <c r="C193" i="10"/>
  <c r="C302" i="10"/>
  <c r="C237" i="10"/>
  <c r="C277" i="10"/>
  <c r="C269" i="10"/>
  <c r="C111" i="10"/>
  <c r="C297" i="10"/>
  <c r="C66" i="10"/>
  <c r="C210" i="10"/>
  <c r="X308" i="10"/>
  <c r="C308" i="10"/>
  <c r="C280" i="10"/>
  <c r="C295" i="10"/>
  <c r="C213" i="10"/>
  <c r="C267" i="10"/>
  <c r="C57" i="10"/>
  <c r="C136" i="10"/>
  <c r="C171" i="10"/>
  <c r="C112" i="10"/>
  <c r="C100" i="10"/>
  <c r="C86" i="10"/>
  <c r="C200" i="10"/>
  <c r="C40" i="10"/>
  <c r="X311" i="10"/>
  <c r="C311" i="10"/>
  <c r="C296" i="10"/>
  <c r="C47" i="10"/>
  <c r="C61" i="10"/>
  <c r="C215" i="10"/>
  <c r="C109" i="10"/>
  <c r="C201" i="10"/>
  <c r="C183" i="10"/>
  <c r="C128" i="10"/>
  <c r="C145" i="10"/>
  <c r="X307" i="10"/>
  <c r="C307" i="10"/>
  <c r="C170" i="10"/>
  <c r="C273" i="10"/>
  <c r="C30" i="10"/>
  <c r="C54" i="10"/>
  <c r="C98" i="10"/>
  <c r="C125" i="10"/>
  <c r="C223" i="10"/>
  <c r="C283" i="10"/>
  <c r="C236" i="10"/>
  <c r="C79" i="10"/>
  <c r="C212" i="10"/>
  <c r="C89" i="10"/>
  <c r="C196" i="10"/>
  <c r="C254" i="10"/>
  <c r="C155" i="10"/>
  <c r="C49" i="10"/>
  <c r="C266" i="10"/>
  <c r="C182" i="10"/>
  <c r="C221" i="10"/>
  <c r="C188" i="10"/>
  <c r="C123" i="10"/>
  <c r="C217" i="10"/>
  <c r="C143" i="10"/>
  <c r="C137" i="10"/>
  <c r="C287" i="10"/>
  <c r="C20" i="10"/>
  <c r="C244" i="10"/>
  <c r="C70" i="10"/>
  <c r="C208" i="10"/>
  <c r="C22" i="10"/>
  <c r="E98" i="25" s="1"/>
  <c r="E103" i="25" s="1"/>
  <c r="C52" i="10"/>
  <c r="C224" i="10"/>
  <c r="C199" i="10"/>
  <c r="C189" i="10"/>
  <c r="C28" i="10"/>
  <c r="C246" i="10"/>
  <c r="C174" i="10"/>
  <c r="C242" i="10"/>
  <c r="C120" i="10"/>
  <c r="C272" i="10"/>
  <c r="C104" i="10"/>
  <c r="C173" i="10"/>
  <c r="C198" i="10"/>
  <c r="C275" i="10"/>
  <c r="C138" i="10"/>
  <c r="C160" i="10"/>
  <c r="C48" i="10"/>
  <c r="C105" i="10"/>
  <c r="C303" i="10"/>
  <c r="C255" i="10"/>
  <c r="C197" i="10"/>
  <c r="C202" i="10"/>
  <c r="C271" i="10"/>
  <c r="C67" i="10"/>
  <c r="C243" i="10"/>
  <c r="C300" i="10"/>
  <c r="C108" i="10"/>
  <c r="C190" i="10"/>
  <c r="C191" i="10"/>
  <c r="C34" i="10"/>
  <c r="C286" i="10"/>
  <c r="C258" i="10"/>
  <c r="C141" i="10"/>
  <c r="C181" i="10"/>
  <c r="C284" i="10"/>
  <c r="C232" i="10"/>
  <c r="C126" i="10"/>
  <c r="C16" i="10"/>
  <c r="C85" i="10"/>
  <c r="C298" i="10"/>
  <c r="C14" i="10"/>
  <c r="C122" i="10"/>
  <c r="C179" i="10"/>
  <c r="C281" i="10"/>
  <c r="C205" i="10"/>
  <c r="C147" i="10"/>
  <c r="C239" i="10"/>
  <c r="C154" i="10"/>
  <c r="C135" i="10"/>
  <c r="C17" i="10"/>
  <c r="C71" i="10"/>
  <c r="C25" i="10"/>
  <c r="C309" i="10"/>
  <c r="C214" i="10"/>
  <c r="C252" i="10"/>
  <c r="C259" i="10"/>
  <c r="C161" i="10"/>
  <c r="C101" i="10"/>
  <c r="C83" i="10"/>
  <c r="C142" i="10"/>
  <c r="C23" i="10"/>
  <c r="C227" i="10"/>
  <c r="C99" i="10"/>
  <c r="C262" i="10"/>
  <c r="C175" i="10"/>
  <c r="C203" i="10"/>
  <c r="C169" i="10"/>
  <c r="C114" i="10"/>
  <c r="X306" i="10"/>
  <c r="C306" i="10"/>
  <c r="C84" i="10"/>
  <c r="C176" i="10"/>
  <c r="C119" i="10"/>
  <c r="C139" i="10"/>
  <c r="C195" i="10"/>
  <c r="C87" i="10"/>
  <c r="C144" i="10"/>
  <c r="C235" i="10"/>
  <c r="C265" i="10"/>
  <c r="C268" i="10"/>
  <c r="C88" i="10"/>
  <c r="C192" i="10"/>
  <c r="C225" i="10"/>
  <c r="C263" i="10"/>
  <c r="C219" i="10"/>
  <c r="C274" i="10"/>
  <c r="C69" i="10"/>
  <c r="C41" i="10"/>
  <c r="C60" i="10"/>
  <c r="C62" i="10"/>
  <c r="C149" i="10"/>
  <c r="X310" i="10"/>
  <c r="C38" i="10"/>
  <c r="C216" i="10"/>
  <c r="C82" i="10"/>
  <c r="C148" i="10"/>
  <c r="C289" i="10"/>
  <c r="C172" i="10"/>
  <c r="C95" i="10"/>
  <c r="C248" i="10"/>
  <c r="C56" i="10"/>
  <c r="C93" i="10"/>
  <c r="C140" i="10"/>
  <c r="C58" i="10"/>
  <c r="C113" i="10"/>
  <c r="X304" i="10"/>
  <c r="C304" i="10"/>
  <c r="C153" i="10"/>
  <c r="C37" i="10"/>
  <c r="C65" i="10"/>
  <c r="C230" i="10"/>
  <c r="C240" i="10"/>
  <c r="C127" i="10"/>
  <c r="C285" i="10"/>
  <c r="C68" i="10"/>
  <c r="C164" i="10"/>
  <c r="C77" i="10"/>
  <c r="C18" i="10"/>
  <c r="C24" i="10"/>
  <c r="C151" i="10"/>
  <c r="C157" i="10"/>
  <c r="C264" i="10"/>
  <c r="C118" i="10"/>
  <c r="C96" i="10"/>
  <c r="C92" i="10"/>
  <c r="C42" i="10"/>
  <c r="C249" i="10"/>
  <c r="C167" i="10"/>
  <c r="C26" i="10"/>
  <c r="C115" i="10"/>
  <c r="C50" i="10"/>
  <c r="C106" i="10"/>
  <c r="C32" i="10"/>
  <c r="C39" i="10"/>
  <c r="C241" i="10"/>
  <c r="C12" i="10"/>
  <c r="C180" i="10"/>
  <c r="C256" i="10"/>
  <c r="C91" i="10"/>
  <c r="C76" i="10"/>
  <c r="C229" i="10"/>
  <c r="C156" i="10"/>
  <c r="C288" i="10"/>
  <c r="C261" i="10"/>
  <c r="C206" i="10"/>
  <c r="C278" i="10"/>
  <c r="C279" i="10"/>
  <c r="C43" i="10"/>
  <c r="C251" i="10"/>
  <c r="C228" i="10"/>
  <c r="C103" i="10"/>
  <c r="C27" i="10"/>
  <c r="C247" i="10"/>
  <c r="C233" i="10"/>
  <c r="C146" i="10"/>
  <c r="C158" i="10"/>
  <c r="C245" i="10"/>
  <c r="C80" i="10"/>
  <c r="C131" i="10"/>
  <c r="C204" i="10"/>
  <c r="C260" i="10"/>
  <c r="C178" i="10"/>
  <c r="C162" i="10"/>
  <c r="C290" i="10"/>
  <c r="C185" i="10"/>
  <c r="C55" i="10"/>
  <c r="C132" i="10"/>
  <c r="C218" i="10"/>
  <c r="C44" i="10"/>
  <c r="C117" i="10"/>
  <c r="C21" i="10"/>
  <c r="C72" i="10"/>
  <c r="C107" i="10"/>
  <c r="C291" i="10"/>
  <c r="C299" i="10"/>
  <c r="C130" i="10"/>
  <c r="C226" i="10"/>
  <c r="C51" i="10"/>
  <c r="C81" i="10"/>
  <c r="C10" i="10" l="1"/>
  <c r="C323" i="10" s="1"/>
  <c r="Y46" i="13" s="1"/>
  <c r="Y42" i="13" s="1"/>
  <c r="Q325" i="10"/>
  <c r="Q327" i="10" s="1"/>
  <c r="X325" i="10"/>
</calcChain>
</file>

<file path=xl/sharedStrings.xml><?xml version="1.0" encoding="utf-8"?>
<sst xmlns="http://schemas.openxmlformats.org/spreadsheetml/2006/main" count="3166" uniqueCount="575">
  <si>
    <t>Employer Code</t>
  </si>
  <si>
    <t>Employer</t>
  </si>
  <si>
    <t>Employer Allocation Percentage</t>
  </si>
  <si>
    <t>(1)</t>
  </si>
  <si>
    <t>(2)</t>
  </si>
  <si>
    <t>STATE OF NEW MEXICO</t>
  </si>
  <si>
    <t>21ST CENTURY PUBLIC ACADEMY</t>
  </si>
  <si>
    <t>ABQ CHARTER ACADEMY</t>
  </si>
  <si>
    <t>ACADEMY FOR TECHNOLOGY &amp; THE CLASSICS</t>
  </si>
  <si>
    <t>ACE LEADERSHIP</t>
  </si>
  <si>
    <t>ALAMOGORDO PUBLIC SCHOOLS</t>
  </si>
  <si>
    <t>ALBUQUERQUE BERNALILLO COUNTY WATER UTILITY AUTHORITY</t>
  </si>
  <si>
    <t>ALBUQUERQUE HOUSING AUTHORITY</t>
  </si>
  <si>
    <t>ALBUQUERQUE PUBLIC SCHOOLS</t>
  </si>
  <si>
    <t>ALBUQUERQUE SCHOOL OF EXCELLENCE</t>
  </si>
  <si>
    <t>ALBUQUERQUE SIGN LANGUAGE ACADEMY</t>
  </si>
  <si>
    <t>ALBUQUERQUE TALENT DEVELOPMENT SECONDARY CHARTER SCHOOL</t>
  </si>
  <si>
    <t>ALDO LEOPOLD CHARTER SCHOOL</t>
  </si>
  <si>
    <t>ALICE KING COMMUNITY SCHOOL</t>
  </si>
  <si>
    <t>ALMA D' ARTE CHARTER HIGH</t>
  </si>
  <si>
    <t>AMY BIEHL CHARTER SCHOOL</t>
  </si>
  <si>
    <t>ANANSI CHARTER SCHOOL</t>
  </si>
  <si>
    <t>ANIMAS PUBLIC SCHOOLS</t>
  </si>
  <si>
    <t>ARTESIA PUBLIC SCHOOLS</t>
  </si>
  <si>
    <t>AZTEC MUNICIPAL SCHOOLS</t>
  </si>
  <si>
    <t>BELEN CONSOLIDATED SCHOOLS</t>
  </si>
  <si>
    <t>BERNALILLO COUNTY</t>
  </si>
  <si>
    <t>BERNALILLO PUBLIC SCHOOLS</t>
  </si>
  <si>
    <t>BLOOMFIELD MUNICIPAL SCHOOLS</t>
  </si>
  <si>
    <t>CAPITAN MUNICIPAL SCHOOLS</t>
  </si>
  <si>
    <t>CARLSBAD MUNICIPAL SCHOOLS</t>
  </si>
  <si>
    <t>CARRIZOZO MUNICIPAL SCHOOLS</t>
  </si>
  <si>
    <t>CENTRAL CONSOLIDATED SCHOOL DISTRICT #22</t>
  </si>
  <si>
    <t>CENTRAL NEW MEXICO COMMUNITY COLLEGE</t>
  </si>
  <si>
    <t>CENTRAL REGION EDUCATION COOPERATIVE</t>
  </si>
  <si>
    <t>CESAR CHAVEZ COMMUNITY CHARTER SCHOOL</t>
  </si>
  <si>
    <t>CHAMA VALLEY INDEPENDENT SCHOOLS</t>
  </si>
  <si>
    <t>CHAVES COUNTY</t>
  </si>
  <si>
    <t>CHRISTINE DUNCAN'S HERITAGE ACADEMY</t>
  </si>
  <si>
    <t>CIBOLA COUNTY</t>
  </si>
  <si>
    <t>CIEN AGUAS INTERNATIONAL CHARTER SCHOOL</t>
  </si>
  <si>
    <t>CIMARRON MUNICIPAL SCHOOLS</t>
  </si>
  <si>
    <t>CITY OF ALAMOGORDO</t>
  </si>
  <si>
    <t>CITY OF ALBUQUERQUE</t>
  </si>
  <si>
    <t>CITY OF AZTEC</t>
  </si>
  <si>
    <t>CITY OF BELEN</t>
  </si>
  <si>
    <t>CITY OF BLOOMFIELD</t>
  </si>
  <si>
    <t>CITY OF CARLSBAD</t>
  </si>
  <si>
    <t>CITY OF CLOVIS</t>
  </si>
  <si>
    <t>CITY OF DEMING</t>
  </si>
  <si>
    <t>CITY OF ESPANOLA</t>
  </si>
  <si>
    <t>CITY OF FARMINGTON</t>
  </si>
  <si>
    <t>CITY OF GALLUP</t>
  </si>
  <si>
    <t>CITY OF JAL</t>
  </si>
  <si>
    <t>CITY OF LAS CRUCES</t>
  </si>
  <si>
    <t>CITY OF LAS VEGAS</t>
  </si>
  <si>
    <t>CITY OF MORIARTY</t>
  </si>
  <si>
    <t>CITY OF PORTALES</t>
  </si>
  <si>
    <t>CITY OF RATON</t>
  </si>
  <si>
    <t>CITY OF RIO RANCHO</t>
  </si>
  <si>
    <t>CITY OF ROSWELL</t>
  </si>
  <si>
    <t>CITY OF SANTA FE</t>
  </si>
  <si>
    <t>CITY OF SANTA ROSA</t>
  </si>
  <si>
    <t>CITY OF SOCORRO</t>
  </si>
  <si>
    <t>CITY OF SUNLAND PARK</t>
  </si>
  <si>
    <t>CITY OF T OR C</t>
  </si>
  <si>
    <t>CITY OF TEXICO</t>
  </si>
  <si>
    <t>CITY OF TUCUMCARI</t>
  </si>
  <si>
    <t>CLAYTON MUNICIPAL SCHOOLS</t>
  </si>
  <si>
    <t>CLOUDCROFT MUNICIPAL  SCHOOL DISTRICT</t>
  </si>
  <si>
    <t>CLOVIS MUNICIPAL SCHOOLS</t>
  </si>
  <si>
    <t>COBRE CONSOLIDATED SCHOOLS</t>
  </si>
  <si>
    <t>COLFAX COUNTY</t>
  </si>
  <si>
    <t>CORAL COMMUNITY CHARTER SCHOOL</t>
  </si>
  <si>
    <t>CORONA PUBLIC SCHOOLS</t>
  </si>
  <si>
    <t>CORRALES INTERNATIONAL SCHOOL</t>
  </si>
  <si>
    <t xml:space="preserve">COTTONWOOD CLASSICAL PREPARATORY SCHOOL </t>
  </si>
  <si>
    <t>COTTONWOOD VALLEY CHARTER SCHOOL</t>
  </si>
  <si>
    <t>CUBA INDEPENDENT SCHOOLS</t>
  </si>
  <si>
    <t>CURRY COUNTY</t>
  </si>
  <si>
    <t>DEMING CESAR CHAVEZ CHARTER HIGH SCHOOL</t>
  </si>
  <si>
    <t>DEMING PUBLIC SCHOOLS</t>
  </si>
  <si>
    <t>DES MOINES MUNICIPAL SCHOOLS</t>
  </si>
  <si>
    <t>DEXTER CONSOLIDATED SCHOOLS</t>
  </si>
  <si>
    <t>DIGITAL ARTS &amp; TECHNOLOGY ACADEMY</t>
  </si>
  <si>
    <t>DORA CONSOLIDATED SCHOOLS</t>
  </si>
  <si>
    <t>DREAM DINE' CHARTER SCHOOL</t>
  </si>
  <si>
    <t>DULCE INDEPENDENT SCHOOLS</t>
  </si>
  <si>
    <t>DZIL DIT L'OOI SCHOOL OF EMPOWERMENT</t>
  </si>
  <si>
    <t>EAST MOUNTAIN HIGH SCHOOL</t>
  </si>
  <si>
    <t>EASTERN NEW MEXICO UNIVERSITY AT ROSWELL</t>
  </si>
  <si>
    <t>EASTERN NEW MEXICO UNIVERSITY AT PORTALES</t>
  </si>
  <si>
    <t>EDDY COUNTY</t>
  </si>
  <si>
    <t>EL CAMINO REAL ACADEMY</t>
  </si>
  <si>
    <t>ELIDA MUNICIPAL SCHOOLS</t>
  </si>
  <si>
    <t>ESPANOLA PUBLIC SCHOOLS</t>
  </si>
  <si>
    <t>ESTANCIA MUNICIPAL SCHOOLS</t>
  </si>
  <si>
    <t>ESTANCIA VALLEY CLASSICAL CHARTER SCHOOL</t>
  </si>
  <si>
    <t>EUNICE PUBLIC SCHOOLS</t>
  </si>
  <si>
    <t>EXPLORE ACADEMY</t>
  </si>
  <si>
    <t>FARMINGTON MUNICIPAL SCHOOLS</t>
  </si>
  <si>
    <t>FLOYD MUNICIPAL SCHOOLS</t>
  </si>
  <si>
    <t>FT SUMNER MUNICIPAL SCHOOLS</t>
  </si>
  <si>
    <t>GADSDEN INDEPENDENT SCHOOL DISTRICT</t>
  </si>
  <si>
    <t>GALLUP HOUSING AUTHORITY</t>
  </si>
  <si>
    <t>GALLUP-MCKINLEY COUNTY SCHOOLS</t>
  </si>
  <si>
    <t>GILBERT L. SENA CHARTER HIGH SCHOOL</t>
  </si>
  <si>
    <t>GORDON BERNELL CHARTER SCHOOL</t>
  </si>
  <si>
    <t>GRADY MUNICIPAL SCHOOLS</t>
  </si>
  <si>
    <t>GRANT COUNTY</t>
  </si>
  <si>
    <t>GRANTS-CIBOLA COUNTY SCHOOLS</t>
  </si>
  <si>
    <t>HAGERMAN MUNICIPAL SCHOOLS</t>
  </si>
  <si>
    <t>HATCH VALLEY MUNICIPAL SCHOOLS</t>
  </si>
  <si>
    <t>HEALTH LEADERSHIP HIGH SCHOOL</t>
  </si>
  <si>
    <t>HIGH PLAINS REGIONAL EDUCATION COOPERATIVE</t>
  </si>
  <si>
    <t>HOBBS MUNICIPAL SCHOOLS</t>
  </si>
  <si>
    <t>HONDO VALLEY PUBLIC SCHOOLS</t>
  </si>
  <si>
    <t>HORIZON ACADEMY WEST</t>
  </si>
  <si>
    <t>HOUSE MUNICIPAL SCHOOLS</t>
  </si>
  <si>
    <t>INTERNATIONAL SCHOOL AT MESA DEL SOL</t>
  </si>
  <si>
    <t>J. PAUL TAYLOR ACADEMY</t>
  </si>
  <si>
    <t>JAL PUBLIC SCHOOLS</t>
  </si>
  <si>
    <t>JEFFERSON MONTESSORI ACADEMY</t>
  </si>
  <si>
    <t>JEMEZ MOUNTAIN SCHOOL DISTRICT</t>
  </si>
  <si>
    <t>JEMEZ VALLEY PUBLIC SCHOOLS</t>
  </si>
  <si>
    <t>LA ACADEMIA DE DOLORES HUERTA</t>
  </si>
  <si>
    <t>LA ACADEMIA DE ESPERANZA CHARTER SCHOOL</t>
  </si>
  <si>
    <t>LA PROMESA EARLY LEARNING CENTER</t>
  </si>
  <si>
    <t>LA TIERRA MONTESSORI SCHOOL</t>
  </si>
  <si>
    <t>LAKE ARTHUR SCHOOLS</t>
  </si>
  <si>
    <t>LAS CRUCES SCHOOL DISTRICT #2</t>
  </si>
  <si>
    <t>LAS MONTANAS CHARTER HIGH SCHOOL</t>
  </si>
  <si>
    <t>LAS VEGAS CITY SCHOOLS</t>
  </si>
  <si>
    <t>LEA COUNTY</t>
  </si>
  <si>
    <t>LINCOLN COUNTY</t>
  </si>
  <si>
    <t>LINDRITH AREA HERITAGE SCHOOL</t>
  </si>
  <si>
    <t>LOGAN MUNICIPAL SCHOOLS</t>
  </si>
  <si>
    <t>LORDSBURG MUNICIPAL SCHOOLS</t>
  </si>
  <si>
    <t>LOS ALAMOS COUNTY</t>
  </si>
  <si>
    <t>LOS ALAMOS PUBLIC SCHOOLS</t>
  </si>
  <si>
    <t>LOS LUNAS CONSOLIDATED SCHOOLS</t>
  </si>
  <si>
    <t>LOS PUENTES CHARTER SCHOOL</t>
  </si>
  <si>
    <t>LOVING MUNICIPAL SCHOOLS</t>
  </si>
  <si>
    <t>LOVINGTON MUNICIPAL SCHOOLS</t>
  </si>
  <si>
    <t>LUNA COMMUNITY COLLEGE</t>
  </si>
  <si>
    <t>LUNA COUNTY</t>
  </si>
  <si>
    <t>MAGDALENA MUNICIPAL SCHOOLS</t>
  </si>
  <si>
    <t>MAXWELL MUNICIPAL SCHOOLS</t>
  </si>
  <si>
    <t>MCCURDY CHARTER SCHOOL</t>
  </si>
  <si>
    <t>MCKINLEY COUNTY</t>
  </si>
  <si>
    <t>MEDIA ARTS COLLABORATIVE CHARTER SCHOOL</t>
  </si>
  <si>
    <t>MELROSE MUNICIPAL SCHOOLS</t>
  </si>
  <si>
    <t>MESA VISTA SCHOOLS</t>
  </si>
  <si>
    <t>MESALANDS COMMUNITY COLLEGE</t>
  </si>
  <si>
    <t>MIDDLE COLLEGE HIGH SCHOOL</t>
  </si>
  <si>
    <t>MISSION ACHIEVEMENT &amp; SUCCESS SCHOOL</t>
  </si>
  <si>
    <t>MONTE DEL SOL CHARTER SCHOOL</t>
  </si>
  <si>
    <t>MONTESSORI ELEMENTARY CHARTER SCHOOL</t>
  </si>
  <si>
    <t>MONTESSORI OF THE RIO GRANDE CHARTER SCHOOL</t>
  </si>
  <si>
    <t>MORA INDEPENDENT SCHOOLS</t>
  </si>
  <si>
    <t>MORENO VALLEY CHARTER HIGH SCHOOL</t>
  </si>
  <si>
    <t>MORIARTY-EDGEWOOD SCHOOL DISTRICT</t>
  </si>
  <si>
    <t>MOSAIC ACADEMY CHARTER SCHOOL</t>
  </si>
  <si>
    <t>MOSQUERO MUNICIPAL SCHOOLS</t>
  </si>
  <si>
    <t>MOUNTAIN MAHOGANY COMMUNITY SCHOOL</t>
  </si>
  <si>
    <t>MOUNTAINAIR PUBLIC SCHOOLS</t>
  </si>
  <si>
    <t xml:space="preserve">NATIONAL EDUCATION ASSOCIATION - NEW MEXICO </t>
  </si>
  <si>
    <t>NATIVE AMERICAN COMMUNITY ACADEMY</t>
  </si>
  <si>
    <t>NEW MEXICO ACTIVITIES ASSOCIATION</t>
  </si>
  <si>
    <t>NEW MEXICO CONNECTIONS ACADEMY</t>
  </si>
  <si>
    <t>NEW MEXICO HIGHLANDS UNIVERSITY</t>
  </si>
  <si>
    <t>NEW MEXICO INTERNATIONAL SCHOOL</t>
  </si>
  <si>
    <t>NEW MEXICO JUNIOR COLLEGE</t>
  </si>
  <si>
    <t>NEW MEXICO MILITARY INSTITUTE</t>
  </si>
  <si>
    <t>NEW MEXICO SCHOOL FOR THE ARTS</t>
  </si>
  <si>
    <t>NEW MEXICO SCHOOL FOR THE DEAF</t>
  </si>
  <si>
    <t>NM SCHOOL FOR THE BLIND &amp; VISUAL IMPAIRED</t>
  </si>
  <si>
    <t>NORTH CENTRAL NEW MEXICO ECONOMIC DEVELOPMENT DISTRICT</t>
  </si>
  <si>
    <t>NORTH CENTRAL REGIONAL TRANSIT DISTRICT</t>
  </si>
  <si>
    <t>NORTH CENTRAL SOLID WASTE AUTHORITY</t>
  </si>
  <si>
    <t>NORTH VALLEY ACADEMY</t>
  </si>
  <si>
    <t>NORTHEAST REGIONAL EDUCATION COOPERATIVE #4</t>
  </si>
  <si>
    <t>NORTHERN NEW MEXICO COLLEGE</t>
  </si>
  <si>
    <t>NORTHERN REGIONAL HOUSING AUTHORITY</t>
  </si>
  <si>
    <t>NORTHWEST NEW MEXICO REGIONAL SOLID WASTE AUTHORITY</t>
  </si>
  <si>
    <t>NORTHWEST REGIONAL EDUCATION COOPERATIVE #2</t>
  </si>
  <si>
    <t>NUESTROS VALORES CHARTER SCHOOL</t>
  </si>
  <si>
    <t>PECOS CONNECTIONS ACADEMY</t>
  </si>
  <si>
    <t>PECOS INDEPENDENT SCHOOLS</t>
  </si>
  <si>
    <t>PECOS VALLEY REGIONAL EDUCATION COOPERATIVE #8</t>
  </si>
  <si>
    <t>PENASCO INDEPENDENT SCHOOLS</t>
  </si>
  <si>
    <t>POJOAQUE VALLEY SCHOOLS</t>
  </si>
  <si>
    <t>PORTALES MUNICIPAL SCHOOLS</t>
  </si>
  <si>
    <t>PUBLIC ACADEMY FOR THE PERFORMING ARTS</t>
  </si>
  <si>
    <t xml:space="preserve">QUEMADO INDEPENDENT SCHOOL DISTRICT </t>
  </si>
  <si>
    <t>QUESTA INDEPENDENT SCHOOLS</t>
  </si>
  <si>
    <t>RATON HOUSING AUTHORITY</t>
  </si>
  <si>
    <t>RATON PUBLIC SCHOOLS</t>
  </si>
  <si>
    <t>RATON PUBLIC SERVICE</t>
  </si>
  <si>
    <t>RED RIVER VALLEY CHARTER SCHOOL</t>
  </si>
  <si>
    <t>REGION IX EDUCATION COOPERATIVE</t>
  </si>
  <si>
    <t>REGIONAL EDUCATION COOPERATIVE #6</t>
  </si>
  <si>
    <t>REGIONAL EDUCATION COOPERATIVE VII</t>
  </si>
  <si>
    <t>REGIONAL EMERGENCY DISPATCH AUTHORITY</t>
  </si>
  <si>
    <t>RESERVE SCHOOL DISTRICT</t>
  </si>
  <si>
    <t>RIO ARRIBA COUNTY</t>
  </si>
  <si>
    <t>RIO GALLINAS CHARTER SCHOOL</t>
  </si>
  <si>
    <t>RIO RANCHO PUBLIC SCHOOLS</t>
  </si>
  <si>
    <t>ROBERT F. KENNEDY CHARTER SCHOOL</t>
  </si>
  <si>
    <t>ROOSEVELT COUNTY</t>
  </si>
  <si>
    <t>ROOTS AND WINGS COMMUNITY SCHOOL</t>
  </si>
  <si>
    <t>ROSWELL INDEPENDENT SCHOOLS</t>
  </si>
  <si>
    <t>ROY SCHOOLS</t>
  </si>
  <si>
    <t>RUIDOSO MUNICIPAL SCHOOLS</t>
  </si>
  <si>
    <t>SAN DIEGO RIVERSIDE CHARTER SCHOOL</t>
  </si>
  <si>
    <t>SAN JON MUNICIPAL SCHOOLS</t>
  </si>
  <si>
    <t>SAN JUAN COMMUNICATIONS</t>
  </si>
  <si>
    <t>SAN JUAN COUNTY</t>
  </si>
  <si>
    <t>SAN JUAN WATER COMMISSION</t>
  </si>
  <si>
    <t>SAN MIGUEL COUNTY</t>
  </si>
  <si>
    <t>SANDOVAL ACADEMY OF BILINGUAL EDUCATION</t>
  </si>
  <si>
    <t xml:space="preserve">SANDOVAL COUNTY </t>
  </si>
  <si>
    <t>SANTA FE CIVIC HOUSING AUTHORITY</t>
  </si>
  <si>
    <t>SANTA FE COMMUNITY COLLEGE</t>
  </si>
  <si>
    <t>SANTA FE COUNTY</t>
  </si>
  <si>
    <t>SANTA FE PUBLIC SCHOOLS</t>
  </si>
  <si>
    <t>SANTA ROSA CONSOLIDATED SCHOOLS</t>
  </si>
  <si>
    <t>SCHOOL OF DREAMS ACADEMY</t>
  </si>
  <si>
    <t>SIDNEY GUTIERREZ MIDDLE SCHOOL</t>
  </si>
  <si>
    <t>SIEMBRA LEADERSHIP CHARTER SCHOOL</t>
  </si>
  <si>
    <t>SIERRA COUNTY</t>
  </si>
  <si>
    <t>SILVER CITY CONSOLIDATED SCHOOLS</t>
  </si>
  <si>
    <t>SIX DIRECTIONS INDIGENOUS SCHOOL</t>
  </si>
  <si>
    <t>SOCORRO CONSOLIDATED SCHOOLS</t>
  </si>
  <si>
    <t>SOUTH VALLEY ACADEMY</t>
  </si>
  <si>
    <t>SOUTH VALLEY PREPARATORY SCHOOL</t>
  </si>
  <si>
    <t xml:space="preserve">SOUTHERN SANDOVAL COUNTY ARROYO FLOOD CONTROL AUTHORITY </t>
  </si>
  <si>
    <t>SOUTHWEST AERONAUTICS MATH &amp; SCIENCE ACADEMY</t>
  </si>
  <si>
    <t>SOUTHWEST NEW MEXICO COUNCIL OF GOVERNMENTS</t>
  </si>
  <si>
    <t>SOUTHWEST PRIMARY LEARNING CENTER</t>
  </si>
  <si>
    <t>SOUTHWEST REGIONAL EDUCATION #10</t>
  </si>
  <si>
    <t>SOUTHWEST SECONDARY LEARNING CENTER</t>
  </si>
  <si>
    <t>SPRINGER HOUSING AUTHORITY</t>
  </si>
  <si>
    <t>SPRINGER MUNICIPAL SCHOOLS</t>
  </si>
  <si>
    <t>TAOS ACADEMY CHARTER SCHOOL</t>
  </si>
  <si>
    <t>TAOS CHARTER SCHOOL</t>
  </si>
  <si>
    <t>TAOS COUNTY</t>
  </si>
  <si>
    <t>TAOS INTEGRATED SCHOOL OF THE ARTS</t>
  </si>
  <si>
    <t>TAOS MUNICIPAL SCHOOLS</t>
  </si>
  <si>
    <t>TATUM MUNICIPAL SCHOOLS</t>
  </si>
  <si>
    <t>TECH LEADERSHIP HIGH SCHOOL</t>
  </si>
  <si>
    <t>TEXICO MUNICIPAL SCHOOLS</t>
  </si>
  <si>
    <t>THE ASK ACADEMY</t>
  </si>
  <si>
    <t>THE GREAT ACADEMY</t>
  </si>
  <si>
    <t>THE MASTERS PROGRAM</t>
  </si>
  <si>
    <t>THE NEW AMERICA SCHOOL</t>
  </si>
  <si>
    <t>THE NEW AMERICA SCHOOL - LAS CRUCES</t>
  </si>
  <si>
    <t>TIERRA ADENTRO OF NEW MEXICO</t>
  </si>
  <si>
    <t>TIERRA ENCANTADA CHARTER HIGH SCHOOL</t>
  </si>
  <si>
    <t>TIERRA Y MONTES SOIL AND WATER CONSERVATION DISTRICT</t>
  </si>
  <si>
    <t>TORRANCE COUNTY</t>
  </si>
  <si>
    <t>TOWN OF BERNALILLO</t>
  </si>
  <si>
    <t>TOWN OF EDGEWOOD</t>
  </si>
  <si>
    <t>TOWN OF ELIDA</t>
  </si>
  <si>
    <t>TOWN OF ESTANCIA</t>
  </si>
  <si>
    <t>TOWN OF SILVER CITY</t>
  </si>
  <si>
    <t>TOWN OF SPRINGER</t>
  </si>
  <si>
    <t>TOWN OF TAOS</t>
  </si>
  <si>
    <t>TOWN OF TATUM</t>
  </si>
  <si>
    <t>TRUTH OR CONSEQUENCES HOUSING AUTHORITY</t>
  </si>
  <si>
    <t>TRUTH OR CONSEQUENCES MUNICIPAL SCHOOLS</t>
  </si>
  <si>
    <t>TUCUMCARI PUBLIC SCHOOLS</t>
  </si>
  <si>
    <t>TULAROSA MUNICIPAL SCHOOLS</t>
  </si>
  <si>
    <t>TURQUOISE TRAIL CHARTER SCHOOL</t>
  </si>
  <si>
    <t>UNION COUNTY</t>
  </si>
  <si>
    <t>VALENCIA COUNTY</t>
  </si>
  <si>
    <t>VAUGHN MUNICIPAL SCHOOLS</t>
  </si>
  <si>
    <t>VILLAGE OF BOSQUE FARMS</t>
  </si>
  <si>
    <t>VILLAGE OF CHAMA</t>
  </si>
  <si>
    <t>VILLAGE OF FT SUMNER</t>
  </si>
  <si>
    <t>VILLAGE OF HATCH</t>
  </si>
  <si>
    <t xml:space="preserve">VILLAGE OF JEMEZ SPRINGS </t>
  </si>
  <si>
    <t>VILLAGE OF LOGAN</t>
  </si>
  <si>
    <t>VILLAGE OF MELROSE</t>
  </si>
  <si>
    <t>VILLAGE OF MILAN</t>
  </si>
  <si>
    <t>VILLAGE OF PECOS</t>
  </si>
  <si>
    <t>VILLAGE OF QUESTA</t>
  </si>
  <si>
    <t>VILLAGE OF RESERVE</t>
  </si>
  <si>
    <t>VILLAGE OF TIJERAS</t>
  </si>
  <si>
    <t>VISTA GRANDE CHARTER HIGH SCHOOL</t>
  </si>
  <si>
    <t>WAGON MOUND PUBLIC SCHOOLS</t>
  </si>
  <si>
    <t>WALATOWA CHARTER HIGH SCHOOL</t>
  </si>
  <si>
    <t>WEST LAS VEGAS PUBLIC SCHOOLS</t>
  </si>
  <si>
    <t>WESTERN NEW MEXICO UNIVERSITY</t>
  </si>
  <si>
    <t>WILLIAM W. &amp; JOSEPHINE DORN CHARTER SCHOOL</t>
  </si>
  <si>
    <t>ZUNI PUBLIC SCHOOLS</t>
  </si>
  <si>
    <t>Deferred Inflows of Resources</t>
  </si>
  <si>
    <t>Differences Between Expected and Actual Experience</t>
  </si>
  <si>
    <t>Net Difference Between Projected and Actual Investment Earnings on OPEB Plan Investments</t>
  </si>
  <si>
    <t>Changes of Assumptions</t>
  </si>
  <si>
    <t>Total Deferred Inflows of Resources</t>
  </si>
  <si>
    <t>Subsequent Recognition of Deferred Amounts</t>
  </si>
  <si>
    <t>Fiscal Year Ending 2022</t>
  </si>
  <si>
    <t>Fiscal Year Ending 2023</t>
  </si>
  <si>
    <t>(16)</t>
  </si>
  <si>
    <t>Expensed portion of current-period difference between</t>
  </si>
  <si>
    <t>Expensed portion of current-period differences</t>
  </si>
  <si>
    <t xml:space="preserve">Interest on the total OPEB liability </t>
  </si>
  <si>
    <t xml:space="preserve">Actual member contributions </t>
  </si>
  <si>
    <t xml:space="preserve">Projected earnings on plan investments </t>
  </si>
  <si>
    <t>expected and actual experience in the total OPEB liability</t>
  </si>
  <si>
    <t>Expensed portion of current-period changes of assumptions</t>
  </si>
  <si>
    <t xml:space="preserve">or other inputs </t>
  </si>
  <si>
    <t>between actual and projected earnings on plan investments</t>
  </si>
  <si>
    <t xml:space="preserve">Year of </t>
  </si>
  <si>
    <t>Deferral</t>
  </si>
  <si>
    <t>Amortization</t>
  </si>
  <si>
    <t>Period</t>
  </si>
  <si>
    <t>Beginning</t>
  </si>
  <si>
    <t>Balance</t>
  </si>
  <si>
    <t xml:space="preserve">Changes of assumptions or other inputs </t>
  </si>
  <si>
    <t xml:space="preserve">Difference between expected and actual </t>
  </si>
  <si>
    <t>experience in the total OPEB liability</t>
  </si>
  <si>
    <t>earnings on plan investments</t>
  </si>
  <si>
    <t>Total deferred inflows of resources</t>
  </si>
  <si>
    <t>Current Year</t>
  </si>
  <si>
    <t>Changes</t>
  </si>
  <si>
    <t>Ending</t>
  </si>
  <si>
    <t xml:space="preserve">Total </t>
  </si>
  <si>
    <t>1-Percent Decrease</t>
  </si>
  <si>
    <t>1-Percent Increase</t>
  </si>
  <si>
    <t>(17)</t>
  </si>
  <si>
    <t>(18)</t>
  </si>
  <si>
    <t>(19)</t>
  </si>
  <si>
    <t>(20)</t>
  </si>
  <si>
    <t xml:space="preserve"> </t>
  </si>
  <si>
    <t>Actuarial cost method</t>
  </si>
  <si>
    <t>Entry age normal, level percent of pay,</t>
  </si>
  <si>
    <t>calculated on individual employee basis</t>
  </si>
  <si>
    <t>Asset valuation method</t>
  </si>
  <si>
    <t>Market value of assets</t>
  </si>
  <si>
    <t>Actuarial assumptions:</t>
  </si>
  <si>
    <t>Inflation</t>
  </si>
  <si>
    <t>Investment rate of return</t>
  </si>
  <si>
    <t>and margin for adverse deviation including inflation</t>
  </si>
  <si>
    <t>8% graded down to 4.5% over 14 years for Non-</t>
  </si>
  <si>
    <t>Medicare medical plan costs and 7.5% graded down</t>
  </si>
  <si>
    <t>Total OPEB liability</t>
  </si>
  <si>
    <t>Plan fiduciary net position</t>
  </si>
  <si>
    <t>Net OPEB liability</t>
  </si>
  <si>
    <t xml:space="preserve">Plan fiduciary net position as a percentage of </t>
  </si>
  <si>
    <t>the total OPEB liability (funded status)</t>
  </si>
  <si>
    <t>Asset Class</t>
  </si>
  <si>
    <t>Rate of Return</t>
  </si>
  <si>
    <t xml:space="preserve">U.S. core fixed income </t>
  </si>
  <si>
    <t xml:space="preserve">U.S. equity - large cap </t>
  </si>
  <si>
    <t>Non U.S. - emerging markets</t>
  </si>
  <si>
    <t>Non U.S. - developed equities</t>
  </si>
  <si>
    <t>Private equity</t>
  </si>
  <si>
    <t>Credit and structured finance</t>
  </si>
  <si>
    <t>Real estate</t>
  </si>
  <si>
    <t>Absolute return</t>
  </si>
  <si>
    <t>U.S. equity - small/mid cap</t>
  </si>
  <si>
    <t>Long-Term</t>
  </si>
  <si>
    <t>1% Decrease</t>
  </si>
  <si>
    <t>Current Discount</t>
  </si>
  <si>
    <t>1% Increase</t>
  </si>
  <si>
    <t>Current Trend</t>
  </si>
  <si>
    <t>Rates</t>
  </si>
  <si>
    <t>Projected payroll increases</t>
  </si>
  <si>
    <t>Health care cost trend rate</t>
  </si>
  <si>
    <t>Deferred Inflows</t>
  </si>
  <si>
    <t>Deferred Outflows</t>
  </si>
  <si>
    <t>Total</t>
  </si>
  <si>
    <t>Mortality</t>
  </si>
  <si>
    <t>Target</t>
  </si>
  <si>
    <t>Allocation</t>
  </si>
  <si>
    <t>Deferred Outflows of Resources</t>
  </si>
  <si>
    <t>Changes in Proportion</t>
  </si>
  <si>
    <t>Total Deferred Outflows of Resources</t>
  </si>
  <si>
    <t>NOL &amp; Deferred Amounts</t>
  </si>
  <si>
    <t>nol py</t>
  </si>
  <si>
    <t>def inflows py</t>
  </si>
  <si>
    <t xml:space="preserve">OPEB Expense </t>
  </si>
  <si>
    <t>Deferred Amounts</t>
  </si>
  <si>
    <t>Check</t>
  </si>
  <si>
    <t>Do not print</t>
  </si>
  <si>
    <t>O-05.02</t>
  </si>
  <si>
    <t>Non Employer Specific Amounts</t>
  </si>
  <si>
    <t>Don't update</t>
  </si>
  <si>
    <t>Recognition of beginning of year deferred inflows of resources</t>
  </si>
  <si>
    <t>Net Amortization of Deferred Amounts from Changes in Proportion</t>
  </si>
  <si>
    <t>New Mexico Retiree Health Care Authority</t>
  </si>
  <si>
    <t>Schedule of Employer Allocations</t>
  </si>
  <si>
    <t>Schedule of OPEB Amounts by Employer</t>
  </si>
  <si>
    <t>Schedule of Deferred OPEB Amortization by Employer</t>
  </si>
  <si>
    <t>Net OPEB Liability Sensitivity by Employer - Discount Rate</t>
  </si>
  <si>
    <t>Net OPEB Liability Sensitivity by Employer - Trend Rate</t>
  </si>
  <si>
    <t>OPEB Expense (Income)</t>
  </si>
  <si>
    <t>Total Employer OPEB Expense (Income)</t>
  </si>
  <si>
    <t>Proportionate Share of Plan OPEB Expense (Income)</t>
  </si>
  <si>
    <t>to 4.5% over 12 years for Medicare medical plan costs</t>
  </si>
  <si>
    <t>including inflation</t>
  </si>
  <si>
    <t>Remaining</t>
  </si>
  <si>
    <t>Net OPEB income</t>
  </si>
  <si>
    <t xml:space="preserve">Service cost </t>
  </si>
  <si>
    <t>as OPEB income</t>
  </si>
  <si>
    <t>Administrative expense and other changes in fiduciary net position</t>
  </si>
  <si>
    <t>ACADEMY OF TRADES AND TECHNOLOGY*</t>
  </si>
  <si>
    <t>ALBUQUERQUE COLLEGIATE</t>
  </si>
  <si>
    <t>ALBUQUERQUE METROPOLITAN ARROYO FLOOD CONTROL AUTHORITY</t>
  </si>
  <si>
    <t>ALTURA PREP</t>
  </si>
  <si>
    <t>HOZHO ACADEMY</t>
  </si>
  <si>
    <t>MID-REGION COUNCIL OF GOVERNMENTS</t>
  </si>
  <si>
    <t>SOLARE COLLEGIATE CHARTER</t>
  </si>
  <si>
    <t>STUDENT ATHLETE HEADQUARTERS ACADEMY*</t>
  </si>
  <si>
    <t>NEW MEXICO VIRTUAL ACADEMY*</t>
  </si>
  <si>
    <t>LA RESOLANA LEADERSHIP ACADEMY*</t>
  </si>
  <si>
    <t>CARINOS CHARTER SCHOOL*</t>
  </si>
  <si>
    <t>ANTHONY CHARTER SCHOOL*</t>
  </si>
  <si>
    <t>SAGE MONTESSORI CHARTER SCHOOL **</t>
  </si>
  <si>
    <t>SOUTHWEST INTERMEDIATE LEARNING CENTER **</t>
  </si>
  <si>
    <t>UPLIFT COMMUNITY SCHOOL **</t>
  </si>
  <si>
    <t>Current Discount Rate</t>
  </si>
  <si>
    <t>(21)</t>
  </si>
  <si>
    <t>(22)</t>
  </si>
  <si>
    <t>(24)</t>
  </si>
  <si>
    <t>Current period benefit changes</t>
  </si>
  <si>
    <t>Fiscal Year Ending 2024</t>
  </si>
  <si>
    <t>Valuation date</t>
  </si>
  <si>
    <t>RAICES DEL SABER XINACHTLI COMMUNITY SCHOOL</t>
  </si>
  <si>
    <t>2020 Employer Contributions</t>
  </si>
  <si>
    <t>Employer Year 2021</t>
  </si>
  <si>
    <t>Employer Allocation Percentage 2020</t>
  </si>
  <si>
    <t>Expensed</t>
  </si>
  <si>
    <t>Deferred in Current Year</t>
  </si>
  <si>
    <t>Fiscal Year Ending 2025</t>
  </si>
  <si>
    <t>Plug</t>
  </si>
  <si>
    <t>(25)</t>
  </si>
  <si>
    <t>Total deferred outflows of resources</t>
  </si>
  <si>
    <t xml:space="preserve">ALBUQUERQUE INSTITUTE FOR MATHEMATICS AND SCIENCE </t>
  </si>
  <si>
    <t>TAOS INTERNATIONAL SCHOOL</t>
  </si>
  <si>
    <t>2021 Employer Contributions</t>
  </si>
  <si>
    <t>As of and for the Year Ended June 30, 2021</t>
  </si>
  <si>
    <t>ACES TECHNICAL CHARTER SCHOOL</t>
  </si>
  <si>
    <t>ALBUQUERQUE BILINGUAL ACADEMY</t>
  </si>
  <si>
    <t>LAS CRUCES PUBLIC SCHOOLS</t>
  </si>
  <si>
    <t>MARK ARMIJO ACADEMY</t>
  </si>
  <si>
    <t>SANDOVAL COUNTY</t>
  </si>
  <si>
    <t>SANTA FE SOLID WASTE MANAGEMENT AGENCY</t>
  </si>
  <si>
    <t xml:space="preserve">SIERRA COUNTY </t>
  </si>
  <si>
    <t>VOZ COLLEGIATE PREP</t>
  </si>
  <si>
    <t>Net OPEB Liability
June 30, 2021</t>
  </si>
  <si>
    <t>LINDRITH AREA HERITAGE SCHOOL*</t>
  </si>
  <si>
    <t>STUDENT ATHLETE HEADQUARTERS ACADEMY **</t>
  </si>
  <si>
    <t>NEW MEXICO VIRTUAL ACADEMY **</t>
  </si>
  <si>
    <t>LA RESOLANA LEADERSHIP ACADEMY **</t>
  </si>
  <si>
    <t>CARINOS CHARTER SCHOOL **</t>
  </si>
  <si>
    <t>ANTHONY CHARTER SCHOOL **</t>
  </si>
  <si>
    <t>ACADEMY OF TRADES AND TECHNOLOGY **</t>
  </si>
  <si>
    <t>SAGE MONTESSORI CHARTER SCHOOL ***</t>
  </si>
  <si>
    <t>SOUTHWEST INTERMEDIATE LEARNING CENTER ***</t>
  </si>
  <si>
    <t>UPLIFT COMMUNITY SCHOOL ***</t>
  </si>
  <si>
    <t>Fiscal Year Ending 2026</t>
  </si>
  <si>
    <t>* Zero Share in 2021</t>
  </si>
  <si>
    <t>** Zero Share in 2019</t>
  </si>
  <si>
    <t>*** Zero Share in 2018</t>
  </si>
  <si>
    <t>Employer Allocation Percentage 2021</t>
  </si>
  <si>
    <t>Expense in 2022</t>
  </si>
  <si>
    <t>Deferred Amounts - 2022</t>
  </si>
  <si>
    <t>Employer Year 2022</t>
  </si>
  <si>
    <t>ANTHONY CHARTER SCHOOL**</t>
  </si>
  <si>
    <t>CARINOS CHARTER SCHOOL**</t>
  </si>
  <si>
    <t>LA RESOLANA LEADERSHIP ACADEMY**</t>
  </si>
  <si>
    <t>NEW MEXICO VIRTUAL ACADEMY**</t>
  </si>
  <si>
    <t>STUDENT ATHLETE HEADQUARTERS ACADEMY**</t>
  </si>
  <si>
    <t>June 30, 2021</t>
  </si>
  <si>
    <t>2.30% for ERB members; 2.50% for PERA members</t>
  </si>
  <si>
    <t xml:space="preserve">3.25% to 13.00%, based on years of service, </t>
  </si>
  <si>
    <t xml:space="preserve">7.00%, net of OPEB plan investment expense </t>
  </si>
  <si>
    <t xml:space="preserve">ERB members: 2020 GRS Southwest Region Teacher 
</t>
  </si>
  <si>
    <t>projected generationally with Scale MP-2017 times 60%.</t>
  </si>
  <si>
    <t xml:space="preserve">PERA members: Headcount-Weighted RP-2014 Blue Collar </t>
  </si>
  <si>
    <t>Annuitant Mortality, set forward one year for females,</t>
  </si>
  <si>
    <t>Mortality Table, set back one year (and scaled at 95% for</t>
  </si>
  <si>
    <t>(3.62%)</t>
  </si>
  <si>
    <t>(4.62%)</t>
  </si>
  <si>
    <t>(2.62%)</t>
  </si>
  <si>
    <t>Recognition of beginning of year deferred outflows of resources</t>
  </si>
  <si>
    <t>O Section Report</t>
  </si>
  <si>
    <t>Schedules</t>
  </si>
  <si>
    <t>Variance due to actuarial experience difference noted in 2019</t>
  </si>
  <si>
    <t>males). Generational mortality improvements in accordance</t>
  </si>
  <si>
    <t>with the Ultimate MP scales are projected from the year 2020.</t>
  </si>
  <si>
    <t>Current Discount Rate (3.62%)</t>
  </si>
  <si>
    <t>1-Percent Decrease (2.62%)</t>
  </si>
  <si>
    <t>1-Percent Increase (4.62%)</t>
  </si>
  <si>
    <t>(26)</t>
  </si>
  <si>
    <t xml:space="preserve">Difference between actual and projected </t>
  </si>
  <si>
    <t>For the Year Ended June 30, 2021</t>
  </si>
  <si>
    <t>Please enter information in the blue boxes below.</t>
  </si>
  <si>
    <t>Employer Number</t>
  </si>
  <si>
    <t>Employer Name</t>
  </si>
  <si>
    <t>1. Please input the employer number</t>
  </si>
  <si>
    <t>Contributions</t>
  </si>
  <si>
    <t>Employer's General Ledger</t>
  </si>
  <si>
    <t>Covered payroll</t>
  </si>
  <si>
    <t>Employer's General Ledger for payroll of the employees</t>
  </si>
  <si>
    <t xml:space="preserve">   that are provided with OPEB  through NMRHCA</t>
  </si>
  <si>
    <t>Employer's Prior Year Financial Statements</t>
  </si>
  <si>
    <t>Employer Amounts</t>
  </si>
  <si>
    <t>Amount</t>
  </si>
  <si>
    <t>Reference</t>
  </si>
  <si>
    <t>Schedule of Employer Allocation</t>
  </si>
  <si>
    <t>Total OPEB Expense (Income)</t>
  </si>
  <si>
    <t>Ending Net OPEB Liability</t>
  </si>
  <si>
    <t>4. Record the net change Net OPEB Liability (Debit = positive amounts):</t>
  </si>
  <si>
    <t>Net OPEB Liability</t>
  </si>
  <si>
    <t>Rounding Impact to OPEB Expense (Income)</t>
  </si>
  <si>
    <t xml:space="preserve">Note: this is the rounding impact and </t>
  </si>
  <si>
    <t xml:space="preserve">difference between NMRHCA contributions </t>
  </si>
  <si>
    <t>and Employer's contributions</t>
  </si>
  <si>
    <t>5. Record current year contributions to Deferred Outflows:</t>
  </si>
  <si>
    <t>RHCA Contributions Expense</t>
  </si>
  <si>
    <t>6. The information below might be useful for footnote disclosures.</t>
  </si>
  <si>
    <t>Discount Rate Sensitivity Analysis</t>
  </si>
  <si>
    <t>Trend Rate Sensitivity Analysis</t>
  </si>
  <si>
    <t>Balances of Deferred Amounts</t>
  </si>
  <si>
    <t xml:space="preserve">Net Difference Between Projected and </t>
  </si>
  <si>
    <t>Actual Investment Earnings on OPEB</t>
  </si>
  <si>
    <t>Plan Investments</t>
  </si>
  <si>
    <t>Change in Proportion</t>
  </si>
  <si>
    <t>Contributions made after the</t>
  </si>
  <si>
    <t>measurement date</t>
  </si>
  <si>
    <t xml:space="preserve">Differences Between Expected and </t>
  </si>
  <si>
    <t>Actual Experience</t>
  </si>
  <si>
    <t>Year</t>
  </si>
  <si>
    <t>Amortization of Deferred Amounts by Employer</t>
  </si>
  <si>
    <t>Required Supplementary Information</t>
  </si>
  <si>
    <t>SCHEDULE OF EMPLOYER'S PROPORTIONATE SHARE OF THE NET OPEB LIABILITY</t>
  </si>
  <si>
    <t>Employer's proportion of the net OPEB</t>
  </si>
  <si>
    <t>liability</t>
  </si>
  <si>
    <t>Employer's proportionate share of the</t>
  </si>
  <si>
    <t xml:space="preserve"> net OPEB liability</t>
  </si>
  <si>
    <t>Employer covered payroll</t>
  </si>
  <si>
    <t>multiplied by Employer's proportion</t>
  </si>
  <si>
    <t xml:space="preserve">Employer's proportionate share of the </t>
  </si>
  <si>
    <t>net OPEB liability as a percentage of</t>
  </si>
  <si>
    <t>its covered payroll</t>
  </si>
  <si>
    <t>Calculation</t>
  </si>
  <si>
    <t>Plan fiduciary net position as a</t>
  </si>
  <si>
    <t>percentage of the total OPEB</t>
  </si>
  <si>
    <t>SCHEDULE OF EMPLOYER'S CONTRIBUTIONS</t>
  </si>
  <si>
    <t>Contractually required contribution</t>
  </si>
  <si>
    <t>Contributions in relation to the</t>
  </si>
  <si>
    <t>contractually required contribution</t>
  </si>
  <si>
    <t>Contribution deficiency (excess)</t>
  </si>
  <si>
    <t>Employer's covered payroll</t>
  </si>
  <si>
    <t>of employees that are provided with OPEB through NMRHCA's OPEB plan.</t>
  </si>
  <si>
    <t>Contributions as a percentage of</t>
  </si>
  <si>
    <t>covered payroll</t>
  </si>
  <si>
    <t>2. Please enter the contributions expensed from July 1, 2021 to June 30, 2022:</t>
  </si>
  <si>
    <t>3. Please enter the contributions deferred from July 1, 2020 to June 30, 2021 (Deferred Outflow):</t>
  </si>
  <si>
    <t>2021 Employer Allocation %</t>
  </si>
  <si>
    <t>As of and for the Year Ended June 30, 2020</t>
  </si>
  <si>
    <t>Net OPEB Liability
June 30, 2020</t>
  </si>
  <si>
    <t>STUDENT ATHLETE HEADQUARTERS ACADEMY *</t>
  </si>
  <si>
    <t>NEW MEXICO VIRTUAL ACADEMY *</t>
  </si>
  <si>
    <t>LA RESOLANA LEADERSHIP ACADEMY *</t>
  </si>
  <si>
    <t>CARINOS CHARTER SCHOOL *</t>
  </si>
  <si>
    <t>ANTHONY CHARTER SCHOOL *</t>
  </si>
  <si>
    <t>ACADEMY OF TRADES AND TECHNOLOGY *</t>
  </si>
  <si>
    <t>Covered payroll disclosed in audited FS ($4,614,243,876) page 32</t>
  </si>
  <si>
    <t>NMRHCA Audited FS page 32</t>
  </si>
  <si>
    <t xml:space="preserve">Covered payroll for the fiscal year ended June 30, 2022 in other words the payroll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</si>
</sst>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&quot;$&quot;#,##0"/>
    <numFmt numFmtId="166" formatCode="0.00000%"/>
    <numFmt numFmtId="167" formatCode="_(* #,##0_);_(* \(#,##0\);_(* &quot;-&quot;??_);_(@_)"/>
    <numFmt numFmtId="168" formatCode="\(#\);\(#\);;"/>
    <numFmt numFmtId="169" formatCode="0_);\(0\)"/>
    <numFmt numFmtId="170" formatCode="0.000000%"/>
    <numFmt numFmtId="171" formatCode="0.0000000%"/>
    <numFmt numFmtId="172" formatCode="0.00000000%"/>
    <numFmt numFmtId="173" formatCode="0.000000000%"/>
    <numFmt numFmtId="174" formatCode="0.0%"/>
    <numFmt numFmtId="175" formatCode="0.0000%"/>
    <numFmt numFmtId="176" formatCode="_(&quot;$&quot;* #,##0_);_(&quot;$&quot;* \(#,##0\);_(&quot;$&quot;* &quot;-&quot;??_);_(@_)"/>
    <numFmt numFmtId="177" formatCode="General_)"/>
    <numFmt numFmtId="178" formatCode="mmmm\ d\,\ yyyy"/>
    <numFmt numFmtId="179" formatCode="_(* #,##0.00&quot;%&quot;;_(* \(#,##0.00&quot;%&quot;\);_(* &quot;--%&quot;_);_(@_)"/>
    <numFmt numFmtId="180" formatCode="_(* #,##0.00_%;_(* \(#,##0.00\)__;_(* &quot;--&quot;_%;_(@_)"/>
    <numFmt numFmtId="181" formatCode="_(* #,##0_);_(* \(#,##0\);_(* &quot;--&quot;_);_(@_)"/>
    <numFmt numFmtId="182" formatCode="_(* #,##0.00&quot;%&quot;;_(* \(#,##0.00\)%;_(* &quot;-&quot;_);_(@_)"/>
    <numFmt numFmtId="183" formatCode="#.00"/>
    <numFmt numFmtId="184" formatCode="#,##0."/>
    <numFmt numFmtId="185" formatCode="&quot;$&quot;#."/>
    <numFmt numFmtId="186" formatCode="yyyy"/>
    <numFmt numFmtId="187" formatCode="000\-00\-0000"/>
    <numFmt numFmtId="188" formatCode="#,##0_);\(#,##0\);\-"/>
    <numFmt numFmtId="189" formatCode="0;0;\-"/>
    <numFmt numFmtId="190" formatCode="_(* #,##0.00&quot;%&quot;;_(* \(#,##0.00\);_(* &quot;-&quot;_);_(@_)"/>
    <numFmt numFmtId="191" formatCode="#,###_)_%;\(#,###\)_%"/>
    <numFmt numFmtId="192" formatCode="_._.* #,##0.0_)_%;_._.* \(#,##0.0\)_%"/>
    <numFmt numFmtId="193" formatCode="_._.* #,##0.00_)_%;_._.* \(#,##0.00\)_%"/>
    <numFmt numFmtId="194" formatCode="_._.&quot;$&quot;* #,##0.00_)_%;_._.&quot;$&quot;* \(#,##0.00\)_%"/>
    <numFmt numFmtId="195" formatCode="_._._(* 0_)%;_._.* \(0\)%"/>
    <numFmt numFmtId="196" formatCode="_(0.0_)%;\(0.0\)%"/>
    <numFmt numFmtId="197" formatCode="#,##0_);\(#,##0\);;"/>
    <numFmt numFmtId="198" formatCode="0.000000000000000%"/>
    <numFmt numFmtId="199" formatCode="0.0000000000000000E+00"/>
    <numFmt numFmtId="200" formatCode="_(* #,##0.00%_);[Red]_(* \(#,##0.00%\);_(0.00%_);@"/>
    <numFmt numFmtId="201" formatCode="mm/dd/yyyy"/>
    <numFmt numFmtId="202" formatCode="#,##0.00;\-#,##0.00;0.00"/>
  </numFmts>
  <fonts count="1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b/>
      <i/>
      <sz val="13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sz val="10.5"/>
      <name val="Cambria"/>
      <family val="1"/>
    </font>
    <font>
      <sz val="11"/>
      <name val="Garamond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Times New Roman"/>
      <family val="1"/>
    </font>
    <font>
      <b/>
      <sz val="16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u/>
      <sz val="10"/>
      <name val="Arial Narrow"/>
      <family val="2"/>
    </font>
    <font>
      <sz val="9"/>
      <name val="CG Omega"/>
      <family val="2"/>
    </font>
    <font>
      <sz val="11"/>
      <name val="Arial Narrow"/>
      <family val="2"/>
    </font>
    <font>
      <sz val="9"/>
      <name val="Garamond"/>
      <family val="1"/>
    </font>
    <font>
      <b/>
      <sz val="11"/>
      <name val="Arial Narrow"/>
      <family val="2"/>
    </font>
    <font>
      <sz val="9"/>
      <name val="Arial Narrow"/>
      <family val="2"/>
    </font>
    <font>
      <sz val="9.5"/>
      <name val="Arial Narrow"/>
      <family val="2"/>
    </font>
    <font>
      <sz val="14"/>
      <name val="Univers Condensed"/>
      <family val="2"/>
    </font>
    <font>
      <sz val="10"/>
      <name val="Garamond"/>
      <family val="1"/>
    </font>
    <font>
      <sz val="7"/>
      <name val="Garamond"/>
      <family val="1"/>
    </font>
    <font>
      <sz val="10"/>
      <name val="CG Omega"/>
      <family val="2"/>
    </font>
    <font>
      <b/>
      <sz val="12"/>
      <name val="Garamond"/>
      <family val="1"/>
    </font>
    <font>
      <b/>
      <i/>
      <sz val="11"/>
      <name val="Garamond"/>
      <family val="1"/>
    </font>
    <font>
      <sz val="12"/>
      <name val="Univers Condensed"/>
      <family val="2"/>
    </font>
    <font>
      <b/>
      <sz val="14"/>
      <name val="Univers Condensed"/>
      <family val="2"/>
    </font>
    <font>
      <sz val="8"/>
      <name val="CG Omega"/>
      <family val="2"/>
    </font>
    <font>
      <sz val="18"/>
      <name val="Garamond"/>
      <family val="1"/>
    </font>
    <font>
      <b/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9"/>
      <name val="Franklin Gothic Medium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0.5"/>
      <name val="Cambria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sz val="10"/>
      <name val="Arial Unicode M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Arial"/>
      <family val="2"/>
    </font>
    <font>
      <sz val="10.5"/>
      <color theme="1"/>
      <name val="Cambria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b/>
      <sz val="10"/>
      <color rgb="FF0000FF"/>
      <name val="Arial"/>
      <family val="2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Times New Roman"/>
      <family val="1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"/>
      <family val="1"/>
    </font>
    <font>
      <b/>
      <sz val="8"/>
      <color rgb="FF000000"/>
      <name val="Times"/>
      <family val="1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indexed="12"/>
      <name val="Arial"/>
      <family val="2"/>
    </font>
    <font>
      <sz val="1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C00000"/>
      <name val="Cambria"/>
      <family val="1"/>
    </font>
    <font>
      <b/>
      <sz val="10"/>
      <color rgb="FF000000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</fonts>
  <fills count="7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C0C0C0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</borders>
  <cellStyleXfs count="1934">
    <xf numFmtId="0" fontId="0" fillId="0" borderId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75" fillId="38" borderId="0" applyNumberFormat="0" applyBorder="0" applyAlignment="0" applyProtection="0"/>
    <xf numFmtId="0" fontId="75" fillId="38" borderId="0" applyNumberFormat="0" applyBorder="0" applyAlignment="0" applyProtection="0"/>
    <xf numFmtId="0" fontId="75" fillId="38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75" fillId="41" borderId="0" applyNumberFormat="0" applyBorder="0" applyAlignment="0" applyProtection="0"/>
    <xf numFmtId="0" fontId="75" fillId="41" borderId="0" applyNumberFormat="0" applyBorder="0" applyAlignment="0" applyProtection="0"/>
    <xf numFmtId="0" fontId="75" fillId="41" borderId="0" applyNumberFormat="0" applyBorder="0" applyAlignment="0" applyProtection="0"/>
    <xf numFmtId="0" fontId="75" fillId="41" borderId="0" applyNumberFormat="0" applyBorder="0" applyAlignment="0" applyProtection="0"/>
    <xf numFmtId="0" fontId="76" fillId="42" borderId="0" applyNumberFormat="0" applyBorder="0" applyAlignment="0" applyProtection="0"/>
    <xf numFmtId="0" fontId="5" fillId="2" borderId="0" applyNumberFormat="0" applyBorder="0" applyAlignment="0" applyProtection="0"/>
    <xf numFmtId="0" fontId="5" fillId="16" borderId="0" applyNumberFormat="0" applyBorder="0" applyAlignment="0" applyProtection="0"/>
    <xf numFmtId="0" fontId="5" fillId="2" borderId="0" applyNumberFormat="0" applyBorder="0" applyAlignment="0" applyProtection="0"/>
    <xf numFmtId="0" fontId="5" fillId="16" borderId="0" applyNumberFormat="0" applyBorder="0" applyAlignment="0" applyProtection="0"/>
    <xf numFmtId="0" fontId="76" fillId="43" borderId="0" applyNumberFormat="0" applyBorder="0" applyAlignment="0" applyProtection="0"/>
    <xf numFmtId="0" fontId="5" fillId="17" borderId="0" applyNumberFormat="0" applyBorder="0" applyAlignment="0" applyProtection="0"/>
    <xf numFmtId="0" fontId="5" fillId="7" borderId="0" applyNumberFormat="0" applyBorder="0" applyAlignment="0" applyProtection="0"/>
    <xf numFmtId="0" fontId="5" fillId="17" borderId="0" applyNumberFormat="0" applyBorder="0" applyAlignment="0" applyProtection="0"/>
    <xf numFmtId="0" fontId="5" fillId="7" borderId="0" applyNumberFormat="0" applyBorder="0" applyAlignment="0" applyProtection="0"/>
    <xf numFmtId="0" fontId="76" fillId="44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76" fillId="45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76" fillId="46" borderId="0" applyNumberFormat="0" applyBorder="0" applyAlignment="0" applyProtection="0"/>
    <xf numFmtId="0" fontId="5" fillId="2" borderId="0" applyNumberFormat="0" applyBorder="0" applyAlignment="0" applyProtection="0"/>
    <xf numFmtId="0" fontId="5" fillId="19" borderId="0" applyNumberFormat="0" applyBorder="0" applyAlignment="0" applyProtection="0"/>
    <xf numFmtId="0" fontId="5" fillId="2" borderId="0" applyNumberFormat="0" applyBorder="0" applyAlignment="0" applyProtection="0"/>
    <xf numFmtId="0" fontId="5" fillId="19" borderId="0" applyNumberFormat="0" applyBorder="0" applyAlignment="0" applyProtection="0"/>
    <xf numFmtId="0" fontId="76" fillId="47" borderId="0" applyNumberFormat="0" applyBorder="0" applyAlignment="0" applyProtection="0"/>
    <xf numFmtId="0" fontId="5" fillId="7" borderId="0" applyNumberFormat="0" applyBorder="0" applyAlignment="0" applyProtection="0"/>
    <xf numFmtId="0" fontId="5" fillId="21" borderId="0" applyNumberFormat="0" applyBorder="0" applyAlignment="0" applyProtection="0"/>
    <xf numFmtId="0" fontId="5" fillId="7" borderId="0" applyNumberFormat="0" applyBorder="0" applyAlignment="0" applyProtection="0"/>
    <xf numFmtId="0" fontId="5" fillId="21" borderId="0" applyNumberFormat="0" applyBorder="0" applyAlignment="0" applyProtection="0"/>
    <xf numFmtId="0" fontId="76" fillId="4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76" fillId="49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76" fillId="50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76" fillId="51" borderId="0" applyNumberFormat="0" applyBorder="0" applyAlignment="0" applyProtection="0"/>
    <xf numFmtId="0" fontId="5" fillId="26" borderId="0" applyNumberFormat="0" applyBorder="0" applyAlignment="0" applyProtection="0"/>
    <xf numFmtId="0" fontId="5" fillId="18" borderId="0" applyNumberFormat="0" applyBorder="0" applyAlignment="0" applyProtection="0"/>
    <xf numFmtId="0" fontId="5" fillId="26" borderId="0" applyNumberFormat="0" applyBorder="0" applyAlignment="0" applyProtection="0"/>
    <xf numFmtId="0" fontId="5" fillId="18" borderId="0" applyNumberFormat="0" applyBorder="0" applyAlignment="0" applyProtection="0"/>
    <xf numFmtId="0" fontId="76" fillId="52" borderId="0" applyNumberFormat="0" applyBorder="0" applyAlignment="0" applyProtection="0"/>
    <xf numFmtId="0" fontId="5" fillId="19" borderId="0" applyNumberFormat="0" applyBorder="0" applyAlignment="0" applyProtection="0"/>
    <xf numFmtId="0" fontId="76" fillId="53" borderId="0" applyNumberFormat="0" applyBorder="0" applyAlignment="0" applyProtection="0"/>
    <xf numFmtId="0" fontId="5" fillId="24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5" fillId="17" borderId="0" applyNumberFormat="0" applyBorder="0" applyAlignment="0" applyProtection="0"/>
    <xf numFmtId="40" fontId="67" fillId="0" borderId="1">
      <alignment horizontal="right"/>
    </xf>
    <xf numFmtId="0" fontId="66" fillId="0" borderId="0">
      <alignment horizontal="left"/>
    </xf>
    <xf numFmtId="40" fontId="2" fillId="0" borderId="0"/>
    <xf numFmtId="0" fontId="66" fillId="0" borderId="0">
      <alignment horizontal="left"/>
    </xf>
    <xf numFmtId="0" fontId="67" fillId="0" borderId="0">
      <alignment horizontal="right"/>
      <protection locked="0"/>
    </xf>
    <xf numFmtId="200" fontId="67" fillId="0" borderId="1">
      <alignment horizontal="right"/>
    </xf>
    <xf numFmtId="40" fontId="67" fillId="0" borderId="0">
      <alignment horizontal="right"/>
    </xf>
    <xf numFmtId="40" fontId="2" fillId="0" borderId="0">
      <alignment horizontal="right"/>
    </xf>
    <xf numFmtId="40" fontId="77" fillId="0" borderId="0">
      <alignment horizontal="right"/>
    </xf>
    <xf numFmtId="0" fontId="2" fillId="0" borderId="0">
      <alignment horizontal="left"/>
    </xf>
    <xf numFmtId="40" fontId="2" fillId="0" borderId="0"/>
    <xf numFmtId="0" fontId="2" fillId="0" borderId="0">
      <alignment horizontal="left"/>
    </xf>
    <xf numFmtId="0" fontId="2" fillId="0" borderId="0">
      <protection locked="0"/>
    </xf>
    <xf numFmtId="200" fontId="2" fillId="0" borderId="0">
      <alignment horizontal="right"/>
    </xf>
    <xf numFmtId="0" fontId="2" fillId="0" borderId="0"/>
    <xf numFmtId="40" fontId="68" fillId="27" borderId="0">
      <alignment horizontal="right" vertical="center"/>
    </xf>
    <xf numFmtId="40" fontId="68" fillId="27" borderId="0">
      <alignment horizontal="left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0" fontId="68" fillId="27" borderId="0">
      <alignment horizontal="right" vertical="center"/>
      <protection locked="0"/>
    </xf>
    <xf numFmtId="40" fontId="68" fillId="27" borderId="0">
      <alignment horizontal="right" vertical="center"/>
    </xf>
    <xf numFmtId="40" fontId="68" fillId="27" borderId="0">
      <alignment horizontal="right"/>
    </xf>
    <xf numFmtId="40" fontId="68" fillId="27" borderId="0">
      <alignment horizontal="center" vertical="center"/>
    </xf>
    <xf numFmtId="40" fontId="2" fillId="0" borderId="0"/>
    <xf numFmtId="0" fontId="2" fillId="0" borderId="0">
      <alignment horizontal="left"/>
    </xf>
    <xf numFmtId="40" fontId="2" fillId="0" borderId="0"/>
    <xf numFmtId="40" fontId="2" fillId="0" borderId="0">
      <alignment horizontal="center" vertical="center"/>
    </xf>
    <xf numFmtId="0" fontId="2" fillId="0" borderId="0"/>
    <xf numFmtId="200" fontId="2" fillId="0" borderId="0">
      <alignment horizontal="right"/>
    </xf>
    <xf numFmtId="40" fontId="2" fillId="0" borderId="0"/>
    <xf numFmtId="40" fontId="68" fillId="27" borderId="0">
      <alignment horizontal="center" vertical="center"/>
    </xf>
    <xf numFmtId="40" fontId="68" fillId="27" borderId="0">
      <alignment horizontal="center" vertical="center"/>
    </xf>
    <xf numFmtId="200" fontId="68" fillId="27" borderId="0">
      <alignment horizontal="center" vertical="center"/>
    </xf>
    <xf numFmtId="40" fontId="68" fillId="27" borderId="0">
      <alignment horizontal="right"/>
    </xf>
    <xf numFmtId="40" fontId="67" fillId="0" borderId="2">
      <alignment horizontal="right"/>
    </xf>
    <xf numFmtId="0" fontId="66" fillId="0" borderId="0">
      <alignment horizontal="left"/>
    </xf>
    <xf numFmtId="40" fontId="2" fillId="0" borderId="0"/>
    <xf numFmtId="0" fontId="66" fillId="0" borderId="0">
      <alignment horizontal="left"/>
    </xf>
    <xf numFmtId="0" fontId="67" fillId="0" borderId="0">
      <alignment horizontal="right"/>
      <protection locked="0"/>
    </xf>
    <xf numFmtId="200" fontId="67" fillId="0" borderId="2">
      <alignment horizontal="right"/>
    </xf>
    <xf numFmtId="40" fontId="67" fillId="0" borderId="0">
      <alignment horizontal="right"/>
    </xf>
    <xf numFmtId="41" fontId="24" fillId="0" borderId="0"/>
    <xf numFmtId="9" fontId="24" fillId="0" borderId="0">
      <alignment horizontal="center"/>
    </xf>
    <xf numFmtId="0" fontId="78" fillId="54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40" fontId="2" fillId="0" borderId="0"/>
    <xf numFmtId="40" fontId="2" fillId="0" borderId="0"/>
    <xf numFmtId="0" fontId="79" fillId="55" borderId="20" applyNumberFormat="0" applyAlignment="0" applyProtection="0"/>
    <xf numFmtId="0" fontId="50" fillId="8" borderId="3" applyNumberFormat="0" applyAlignment="0" applyProtection="0"/>
    <xf numFmtId="0" fontId="7" fillId="12" borderId="3" applyNumberFormat="0" applyAlignment="0" applyProtection="0"/>
    <xf numFmtId="0" fontId="50" fillId="8" borderId="3" applyNumberFormat="0" applyAlignment="0" applyProtection="0"/>
    <xf numFmtId="0" fontId="7" fillId="12" borderId="3" applyNumberFormat="0" applyAlignment="0" applyProtection="0"/>
    <xf numFmtId="44" fontId="3" fillId="0" borderId="0" applyFill="0" applyBorder="0" applyProtection="0"/>
    <xf numFmtId="0" fontId="38" fillId="0" borderId="0" applyFill="0" applyBorder="0" applyProtection="0">
      <alignment horizontal="right" wrapText="1"/>
    </xf>
    <xf numFmtId="0" fontId="37" fillId="0" borderId="0" applyNumberFormat="0" applyFill="0" applyBorder="0" applyProtection="0"/>
    <xf numFmtId="43" fontId="3" fillId="0" borderId="0" applyFill="0" applyBorder="0" applyProtection="0"/>
    <xf numFmtId="178" fontId="39" fillId="0" borderId="0" applyFill="0" applyBorder="0" applyProtection="0">
      <alignment horizontal="left"/>
    </xf>
    <xf numFmtId="178" fontId="39" fillId="0" borderId="0" applyNumberFormat="0" applyFill="0" applyBorder="0" applyProtection="0">
      <alignment horizontal="left"/>
    </xf>
    <xf numFmtId="178" fontId="36" fillId="0" borderId="0" applyFill="0" applyBorder="0" applyProtection="0">
      <alignment horizontal="left"/>
    </xf>
    <xf numFmtId="0" fontId="61" fillId="0" borderId="0" applyFill="0" applyBorder="0" applyProtection="0">
      <alignment horizontal="center"/>
    </xf>
    <xf numFmtId="0" fontId="80" fillId="56" borderId="21" applyNumberFormat="0" applyAlignment="0" applyProtection="0"/>
    <xf numFmtId="0" fontId="8" fillId="25" borderId="4" applyNumberFormat="0" applyAlignment="0" applyProtection="0"/>
    <xf numFmtId="40" fontId="67" fillId="0" borderId="5">
      <alignment horizontal="right"/>
    </xf>
    <xf numFmtId="40" fontId="67" fillId="0" borderId="0">
      <alignment horizontal="left"/>
    </xf>
    <xf numFmtId="40" fontId="2" fillId="0" borderId="0"/>
    <xf numFmtId="40" fontId="67" fillId="0" borderId="0">
      <alignment horizontal="left"/>
    </xf>
    <xf numFmtId="0" fontId="67" fillId="0" borderId="0">
      <alignment horizontal="right"/>
      <protection locked="0"/>
    </xf>
    <xf numFmtId="200" fontId="67" fillId="0" borderId="5">
      <alignment horizontal="right"/>
    </xf>
    <xf numFmtId="40" fontId="67" fillId="0" borderId="0">
      <alignment horizontal="right"/>
    </xf>
    <xf numFmtId="41" fontId="24" fillId="0" borderId="0">
      <alignment horizontal="centerContinuous"/>
    </xf>
    <xf numFmtId="41" fontId="24" fillId="0" borderId="0">
      <alignment horizontal="center"/>
    </xf>
    <xf numFmtId="41" fontId="24" fillId="0" borderId="1">
      <alignment horizontal="centerContinuous"/>
    </xf>
    <xf numFmtId="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68" fillId="27" borderId="0">
      <alignment horizontal="center" vertical="center"/>
    </xf>
    <xf numFmtId="40" fontId="2" fillId="0" borderId="0"/>
    <xf numFmtId="40" fontId="2" fillId="0" borderId="0"/>
    <xf numFmtId="40" fontId="2" fillId="0" borderId="0"/>
    <xf numFmtId="40" fontId="2" fillId="0" borderId="0"/>
    <xf numFmtId="40" fontId="2" fillId="0" borderId="0">
      <protection locked="0"/>
    </xf>
    <xf numFmtId="40" fontId="2" fillId="0" borderId="0"/>
    <xf numFmtId="40" fontId="2" fillId="0" borderId="0"/>
    <xf numFmtId="43" fontId="75" fillId="0" borderId="0" applyFont="0" applyFill="0" applyBorder="0" applyAlignment="0" applyProtection="0"/>
    <xf numFmtId="191" fontId="23" fillId="0" borderId="0" applyFont="0" applyFill="0" applyBorder="0" applyAlignment="0" applyProtection="0">
      <protection locked="0"/>
    </xf>
    <xf numFmtId="192" fontId="23" fillId="0" borderId="0" applyFont="0" applyFill="0" applyBorder="0" applyAlignment="0" applyProtection="0"/>
    <xf numFmtId="193" fontId="6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84" fontId="26" fillId="0" borderId="0">
      <protection locked="0"/>
    </xf>
    <xf numFmtId="3" fontId="2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63" fillId="0" borderId="0" applyFill="0" applyBorder="0" applyAlignment="0" applyProtection="0">
      <protection locked="0"/>
    </xf>
    <xf numFmtId="44" fontId="75" fillId="0" borderId="0" applyFont="0" applyFill="0" applyBorder="0" applyAlignment="0" applyProtection="0"/>
    <xf numFmtId="194" fontId="6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185" fontId="26" fillId="0" borderId="0">
      <protection locked="0"/>
    </xf>
    <xf numFmtId="5" fontId="2" fillId="0" borderId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6" fillId="0" borderId="0">
      <protection locked="0"/>
    </xf>
    <xf numFmtId="14" fontId="2" fillId="0" borderId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83" fontId="26" fillId="0" borderId="0">
      <protection locked="0"/>
    </xf>
    <xf numFmtId="2" fontId="2" fillId="0" borderId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177" fontId="2" fillId="0" borderId="0"/>
    <xf numFmtId="0" fontId="67" fillId="57" borderId="0">
      <alignment horizontal="center" vertical="center"/>
    </xf>
    <xf numFmtId="40" fontId="67" fillId="57" borderId="0">
      <alignment horizontal="center" vertical="center"/>
    </xf>
    <xf numFmtId="40" fontId="67" fillId="57" borderId="0">
      <alignment horizontal="center" vertical="center"/>
    </xf>
    <xf numFmtId="0" fontId="67" fillId="57" borderId="0">
      <alignment horizontal="left" vertical="center"/>
    </xf>
    <xf numFmtId="0" fontId="67" fillId="28" borderId="0">
      <alignment horizontal="left"/>
    </xf>
    <xf numFmtId="40" fontId="2" fillId="0" borderId="0"/>
    <xf numFmtId="0" fontId="67" fillId="28" borderId="0">
      <alignment horizontal="left"/>
    </xf>
    <xf numFmtId="0" fontId="89" fillId="58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90" fillId="58" borderId="0" applyNumberFormat="0" applyBorder="0" applyAlignment="0" applyProtection="0"/>
    <xf numFmtId="40" fontId="67" fillId="0" borderId="0">
      <alignment horizontal="right"/>
    </xf>
    <xf numFmtId="40" fontId="68" fillId="27" borderId="0"/>
    <xf numFmtId="40" fontId="68" fillId="27" borderId="0"/>
    <xf numFmtId="40" fontId="2" fillId="0" borderId="0"/>
    <xf numFmtId="0" fontId="20" fillId="0" borderId="0">
      <alignment horizontal="centerContinuous"/>
    </xf>
    <xf numFmtId="0" fontId="91" fillId="0" borderId="22" applyNumberFormat="0" applyFill="0" applyAlignment="0" applyProtection="0"/>
    <xf numFmtId="0" fontId="27" fillId="0" borderId="0">
      <protection locked="0"/>
    </xf>
    <xf numFmtId="0" fontId="57" fillId="0" borderId="6" applyNumberFormat="0" applyFill="0" applyAlignment="0" applyProtection="0"/>
    <xf numFmtId="0" fontId="51" fillId="0" borderId="0"/>
    <xf numFmtId="0" fontId="57" fillId="0" borderId="6" applyNumberFormat="0" applyFill="0" applyAlignment="0" applyProtection="0"/>
    <xf numFmtId="0" fontId="51" fillId="0" borderId="0"/>
    <xf numFmtId="0" fontId="51" fillId="0" borderId="0" applyNumberFormat="0" applyFont="0" applyFill="0" applyAlignment="0" applyProtection="0"/>
    <xf numFmtId="0" fontId="51" fillId="0" borderId="0" applyNumberFormat="0" applyFont="0" applyFill="0" applyAlignment="0" applyProtection="0"/>
    <xf numFmtId="0" fontId="51" fillId="0" borderId="0" applyNumberFormat="0" applyFont="0" applyFill="0" applyAlignment="0" applyProtection="0"/>
    <xf numFmtId="0" fontId="51" fillId="0" borderId="0" applyNumberFormat="0" applyFont="0" applyFill="0" applyAlignment="0" applyProtection="0"/>
    <xf numFmtId="0" fontId="92" fillId="0" borderId="23" applyNumberFormat="0" applyFill="0" applyAlignment="0" applyProtection="0"/>
    <xf numFmtId="0" fontId="26" fillId="0" borderId="0">
      <protection locked="0"/>
    </xf>
    <xf numFmtId="0" fontId="58" fillId="0" borderId="7" applyNumberFormat="0" applyFill="0" applyAlignment="0" applyProtection="0"/>
    <xf numFmtId="0" fontId="52" fillId="0" borderId="0"/>
    <xf numFmtId="0" fontId="58" fillId="0" borderId="7" applyNumberFormat="0" applyFill="0" applyAlignment="0" applyProtection="0"/>
    <xf numFmtId="0" fontId="52" fillId="0" borderId="0"/>
    <xf numFmtId="0" fontId="52" fillId="0" borderId="0" applyNumberFormat="0" applyFont="0" applyFill="0" applyAlignment="0" applyProtection="0"/>
    <xf numFmtId="0" fontId="52" fillId="0" borderId="0" applyNumberFormat="0" applyFont="0" applyFill="0" applyAlignment="0" applyProtection="0"/>
    <xf numFmtId="0" fontId="52" fillId="0" borderId="0" applyNumberFormat="0" applyFont="0" applyFill="0" applyAlignment="0" applyProtection="0"/>
    <xf numFmtId="0" fontId="52" fillId="0" borderId="0" applyNumberFormat="0" applyFont="0" applyFill="0" applyAlignment="0" applyProtection="0"/>
    <xf numFmtId="0" fontId="93" fillId="0" borderId="24" applyNumberFormat="0" applyFill="0" applyAlignment="0" applyProtection="0"/>
    <xf numFmtId="0" fontId="53" fillId="0" borderId="8" applyNumberFormat="0" applyFill="0" applyAlignment="0" applyProtection="0"/>
    <xf numFmtId="0" fontId="59" fillId="0" borderId="9" applyNumberFormat="0" applyFill="0" applyAlignment="0" applyProtection="0"/>
    <xf numFmtId="0" fontId="53" fillId="0" borderId="8" applyNumberFormat="0" applyFill="0" applyAlignment="0" applyProtection="0"/>
    <xf numFmtId="0" fontId="59" fillId="0" borderId="9" applyNumberFormat="0" applyFill="0" applyAlignment="0" applyProtection="0"/>
    <xf numFmtId="0" fontId="9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6" fillId="59" borderId="20" applyNumberFormat="0" applyAlignment="0" applyProtection="0"/>
    <xf numFmtId="0" fontId="11" fillId="14" borderId="3" applyNumberFormat="0" applyAlignment="0" applyProtection="0"/>
    <xf numFmtId="0" fontId="11" fillId="5" borderId="3" applyNumberFormat="0" applyAlignment="0" applyProtection="0"/>
    <xf numFmtId="0" fontId="11" fillId="14" borderId="3" applyNumberFormat="0" applyAlignment="0" applyProtection="0"/>
    <xf numFmtId="0" fontId="11" fillId="5" borderId="3" applyNumberFormat="0" applyAlignment="0" applyProtection="0"/>
    <xf numFmtId="0" fontId="22" fillId="60" borderId="0">
      <alignment horizontal="left" vertical="top" wrapText="1"/>
    </xf>
    <xf numFmtId="40" fontId="22" fillId="0" borderId="0"/>
    <xf numFmtId="40" fontId="22" fillId="0" borderId="0"/>
    <xf numFmtId="0" fontId="22" fillId="0" borderId="0">
      <alignment horizontal="left"/>
    </xf>
    <xf numFmtId="0" fontId="22" fillId="0" borderId="0">
      <alignment horizontal="center"/>
    </xf>
    <xf numFmtId="0" fontId="69" fillId="0" borderId="0">
      <alignment horizontal="center"/>
      <protection locked="0"/>
    </xf>
    <xf numFmtId="0" fontId="69" fillId="0" borderId="0">
      <alignment horizontal="center"/>
    </xf>
    <xf numFmtId="0" fontId="67" fillId="28" borderId="0">
      <alignment horizontal="left"/>
    </xf>
    <xf numFmtId="0" fontId="67" fillId="28" borderId="0">
      <alignment horizontal="center"/>
    </xf>
    <xf numFmtId="0" fontId="70" fillId="27" borderId="0">
      <alignment horizontal="left"/>
    </xf>
    <xf numFmtId="0" fontId="70" fillId="27" borderId="0">
      <alignment horizontal="left"/>
    </xf>
    <xf numFmtId="0" fontId="69" fillId="0" borderId="0">
      <alignment horizontal="center"/>
      <protection locked="0"/>
    </xf>
    <xf numFmtId="0" fontId="69" fillId="0" borderId="0">
      <alignment horizontal="center"/>
    </xf>
    <xf numFmtId="40" fontId="71" fillId="0" borderId="10"/>
    <xf numFmtId="40" fontId="71" fillId="0" borderId="10"/>
    <xf numFmtId="0" fontId="71" fillId="0" borderId="0"/>
    <xf numFmtId="0" fontId="71" fillId="0" borderId="0"/>
    <xf numFmtId="0" fontId="69" fillId="0" borderId="0">
      <alignment horizontal="center"/>
      <protection locked="0"/>
    </xf>
    <xf numFmtId="0" fontId="69" fillId="0" borderId="0">
      <alignment horizontal="center"/>
    </xf>
    <xf numFmtId="0" fontId="97" fillId="61" borderId="0">
      <alignment horizontal="left"/>
    </xf>
    <xf numFmtId="0" fontId="97" fillId="61" borderId="0">
      <alignment horizontal="left"/>
    </xf>
    <xf numFmtId="0" fontId="98" fillId="0" borderId="25" applyNumberFormat="0" applyFill="0" applyAlignment="0" applyProtection="0"/>
    <xf numFmtId="0" fontId="17" fillId="0" borderId="12" applyNumberFormat="0" applyFill="0" applyAlignment="0" applyProtection="0"/>
    <xf numFmtId="0" fontId="12" fillId="0" borderId="11" applyNumberFormat="0" applyFill="0" applyAlignment="0" applyProtection="0"/>
    <xf numFmtId="0" fontId="17" fillId="0" borderId="12" applyNumberFormat="0" applyFill="0" applyAlignment="0" applyProtection="0"/>
    <xf numFmtId="0" fontId="12" fillId="0" borderId="11" applyNumberFormat="0" applyFill="0" applyAlignment="0" applyProtection="0"/>
    <xf numFmtId="0" fontId="19" fillId="0" borderId="0"/>
    <xf numFmtId="0" fontId="2" fillId="0" borderId="0"/>
    <xf numFmtId="0" fontId="40" fillId="0" borderId="0" applyNumberFormat="0" applyFill="0" applyBorder="0" applyProtection="0"/>
    <xf numFmtId="40" fontId="67" fillId="0" borderId="2">
      <alignment horizontal="right"/>
    </xf>
    <xf numFmtId="0" fontId="99" fillId="0" borderId="0">
      <alignment horizontal="left"/>
    </xf>
    <xf numFmtId="40" fontId="2" fillId="0" borderId="0"/>
    <xf numFmtId="0" fontId="99" fillId="0" borderId="0">
      <alignment horizontal="left"/>
    </xf>
    <xf numFmtId="0" fontId="67" fillId="0" borderId="0" applyBorder="0">
      <alignment horizontal="right"/>
      <protection locked="0"/>
    </xf>
    <xf numFmtId="200" fontId="67" fillId="0" borderId="2">
      <alignment horizontal="right"/>
    </xf>
    <xf numFmtId="40" fontId="67" fillId="0" borderId="0" applyBorder="0">
      <alignment horizontal="right"/>
    </xf>
    <xf numFmtId="0" fontId="100" fillId="62" borderId="0" applyNumberFormat="0" applyBorder="0" applyAlignment="0" applyProtection="0"/>
    <xf numFmtId="0" fontId="54" fillId="14" borderId="0" applyNumberFormat="0" applyBorder="0" applyAlignment="0" applyProtection="0"/>
    <xf numFmtId="0" fontId="13" fillId="14" borderId="0" applyNumberFormat="0" applyBorder="0" applyAlignment="0" applyProtection="0"/>
    <xf numFmtId="0" fontId="54" fillId="14" borderId="0" applyNumberFormat="0" applyBorder="0" applyAlignment="0" applyProtection="0"/>
    <xf numFmtId="0" fontId="13" fillId="14" borderId="0" applyNumberFormat="0" applyBorder="0" applyAlignment="0" applyProtection="0"/>
    <xf numFmtId="0" fontId="44" fillId="0" borderId="0" applyNumberFormat="0" applyFill="0" applyBorder="0" applyProtection="0"/>
    <xf numFmtId="0" fontId="2" fillId="0" borderId="0"/>
    <xf numFmtId="0" fontId="28" fillId="0" borderId="0"/>
    <xf numFmtId="0" fontId="2" fillId="0" borderId="0">
      <alignment vertical="top"/>
    </xf>
    <xf numFmtId="0" fontId="75" fillId="0" borderId="0"/>
    <xf numFmtId="0" fontId="21" fillId="0" borderId="0"/>
    <xf numFmtId="0" fontId="2" fillId="0" borderId="0">
      <alignment vertical="top"/>
    </xf>
    <xf numFmtId="0" fontId="18" fillId="0" borderId="0"/>
    <xf numFmtId="0" fontId="2" fillId="0" borderId="0">
      <alignment vertical="top"/>
    </xf>
    <xf numFmtId="0" fontId="75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5" fillId="0" borderId="0"/>
    <xf numFmtId="0" fontId="28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5" fillId="0" borderId="0"/>
    <xf numFmtId="0" fontId="21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8" fillId="0" borderId="0"/>
    <xf numFmtId="0" fontId="28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1" fillId="0" borderId="0"/>
    <xf numFmtId="0" fontId="28" fillId="0" borderId="0"/>
    <xf numFmtId="0" fontId="2" fillId="0" borderId="0">
      <alignment vertical="top"/>
    </xf>
    <xf numFmtId="0" fontId="21" fillId="0" borderId="0"/>
    <xf numFmtId="0" fontId="2" fillId="0" borderId="0">
      <alignment vertical="top"/>
    </xf>
    <xf numFmtId="0" fontId="18" fillId="0" borderId="0"/>
    <xf numFmtId="0" fontId="21" fillId="0" borderId="0"/>
    <xf numFmtId="0" fontId="18" fillId="0" borderId="0"/>
    <xf numFmtId="0" fontId="2" fillId="0" borderId="0">
      <alignment vertical="top"/>
    </xf>
    <xf numFmtId="0" fontId="18" fillId="0" borderId="0"/>
    <xf numFmtId="0" fontId="75" fillId="0" borderId="0"/>
    <xf numFmtId="0" fontId="28" fillId="0" borderId="0"/>
    <xf numFmtId="0" fontId="2" fillId="0" borderId="0">
      <alignment vertical="top"/>
    </xf>
    <xf numFmtId="0" fontId="75" fillId="0" borderId="0"/>
    <xf numFmtId="0" fontId="2" fillId="0" borderId="0">
      <alignment vertical="top"/>
    </xf>
    <xf numFmtId="0" fontId="75" fillId="0" borderId="0"/>
    <xf numFmtId="0" fontId="2" fillId="0" borderId="0">
      <alignment vertical="top"/>
    </xf>
    <xf numFmtId="0" fontId="75" fillId="0" borderId="0"/>
    <xf numFmtId="0" fontId="28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>
      <alignment vertical="top"/>
    </xf>
    <xf numFmtId="0" fontId="75" fillId="0" borderId="0"/>
    <xf numFmtId="0" fontId="28" fillId="0" borderId="0"/>
    <xf numFmtId="0" fontId="2" fillId="0" borderId="0">
      <alignment vertical="top"/>
    </xf>
    <xf numFmtId="0" fontId="75" fillId="0" borderId="0"/>
    <xf numFmtId="0" fontId="75" fillId="0" borderId="0"/>
    <xf numFmtId="0" fontId="75" fillId="0" borderId="0"/>
    <xf numFmtId="0" fontId="2" fillId="0" borderId="0">
      <alignment vertical="top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56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86" fillId="0" borderId="0"/>
    <xf numFmtId="0" fontId="56" fillId="0" borderId="0"/>
    <xf numFmtId="0" fontId="2" fillId="0" borderId="0"/>
    <xf numFmtId="0" fontId="21" fillId="0" borderId="0"/>
    <xf numFmtId="0" fontId="18" fillId="0" borderId="0"/>
    <xf numFmtId="0" fontId="2" fillId="0" borderId="0"/>
    <xf numFmtId="0" fontId="21" fillId="0" borderId="0"/>
    <xf numFmtId="0" fontId="2" fillId="0" borderId="0"/>
    <xf numFmtId="0" fontId="18" fillId="0" borderId="0"/>
    <xf numFmtId="0" fontId="56" fillId="0" borderId="0"/>
    <xf numFmtId="0" fontId="2" fillId="0" borderId="0"/>
    <xf numFmtId="0" fontId="75" fillId="0" borderId="0"/>
    <xf numFmtId="0" fontId="75" fillId="0" borderId="0"/>
    <xf numFmtId="0" fontId="21" fillId="0" borderId="0"/>
    <xf numFmtId="0" fontId="18" fillId="0" borderId="0"/>
    <xf numFmtId="181" fontId="21" fillId="0" borderId="0"/>
    <xf numFmtId="0" fontId="2" fillId="0" borderId="0"/>
    <xf numFmtId="0" fontId="81" fillId="0" borderId="0"/>
    <xf numFmtId="0" fontId="2" fillId="0" borderId="0"/>
    <xf numFmtId="0" fontId="56" fillId="0" borderId="0"/>
    <xf numFmtId="0" fontId="2" fillId="0" borderId="0"/>
    <xf numFmtId="181" fontId="18" fillId="0" borderId="0"/>
    <xf numFmtId="0" fontId="21" fillId="0" borderId="0"/>
    <xf numFmtId="0" fontId="56" fillId="0" borderId="0"/>
    <xf numFmtId="0" fontId="81" fillId="0" borderId="0"/>
    <xf numFmtId="0" fontId="81" fillId="0" borderId="0"/>
    <xf numFmtId="0" fontId="75" fillId="0" borderId="0"/>
    <xf numFmtId="0" fontId="75" fillId="0" borderId="0"/>
    <xf numFmtId="0" fontId="18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8" fillId="0" borderId="0"/>
    <xf numFmtId="0" fontId="75" fillId="0" borderId="0"/>
    <xf numFmtId="0" fontId="28" fillId="0" borderId="0"/>
    <xf numFmtId="0" fontId="2" fillId="0" borderId="0"/>
    <xf numFmtId="0" fontId="21" fillId="0" borderId="0"/>
    <xf numFmtId="0" fontId="18" fillId="0" borderId="0"/>
    <xf numFmtId="0" fontId="2" fillId="0" borderId="0"/>
    <xf numFmtId="0" fontId="75" fillId="0" borderId="0"/>
    <xf numFmtId="0" fontId="75" fillId="0" borderId="0"/>
    <xf numFmtId="0" fontId="28" fillId="0" borderId="0"/>
    <xf numFmtId="0" fontId="2" fillId="0" borderId="0">
      <alignment vertical="top"/>
    </xf>
    <xf numFmtId="0" fontId="14" fillId="0" borderId="0"/>
    <xf numFmtId="0" fontId="14" fillId="0" borderId="0"/>
    <xf numFmtId="0" fontId="2" fillId="0" borderId="0"/>
    <xf numFmtId="0" fontId="28" fillId="0" borderId="0"/>
    <xf numFmtId="202" fontId="82" fillId="0" borderId="0"/>
    <xf numFmtId="0" fontId="14" fillId="0" borderId="0"/>
    <xf numFmtId="0" fontId="56" fillId="0" borderId="0"/>
    <xf numFmtId="0" fontId="28" fillId="0" borderId="0"/>
    <xf numFmtId="0" fontId="10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8" fillId="0" borderId="0"/>
    <xf numFmtId="0" fontId="2" fillId="0" borderId="0"/>
    <xf numFmtId="0" fontId="56" fillId="0" borderId="0"/>
    <xf numFmtId="0" fontId="21" fillId="0" borderId="0"/>
    <xf numFmtId="0" fontId="18" fillId="0" borderId="0"/>
    <xf numFmtId="0" fontId="64" fillId="0" borderId="0"/>
    <xf numFmtId="0" fontId="83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83" fillId="0" borderId="0"/>
    <xf numFmtId="0" fontId="84" fillId="0" borderId="0"/>
    <xf numFmtId="0" fontId="102" fillId="0" borderId="0"/>
    <xf numFmtId="0" fontId="2" fillId="0" borderId="0"/>
    <xf numFmtId="0" fontId="74" fillId="0" borderId="0"/>
    <xf numFmtId="0" fontId="14" fillId="0" borderId="0"/>
    <xf numFmtId="0" fontId="2" fillId="0" borderId="0"/>
    <xf numFmtId="0" fontId="75" fillId="0" borderId="0"/>
    <xf numFmtId="0" fontId="28" fillId="0" borderId="0"/>
    <xf numFmtId="0" fontId="2" fillId="0" borderId="0">
      <alignment vertical="top"/>
    </xf>
    <xf numFmtId="0" fontId="75" fillId="0" borderId="0"/>
    <xf numFmtId="0" fontId="14" fillId="0" borderId="0"/>
    <xf numFmtId="0" fontId="2" fillId="0" borderId="0"/>
    <xf numFmtId="0" fontId="28" fillId="0" borderId="0"/>
    <xf numFmtId="0" fontId="2" fillId="0" borderId="0">
      <alignment vertical="top"/>
    </xf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8" fillId="0" borderId="0"/>
    <xf numFmtId="0" fontId="2" fillId="0" borderId="0">
      <alignment vertical="top"/>
    </xf>
    <xf numFmtId="0" fontId="103" fillId="0" borderId="0"/>
    <xf numFmtId="0" fontId="85" fillId="0" borderId="0"/>
    <xf numFmtId="0" fontId="28" fillId="0" borderId="0"/>
    <xf numFmtId="0" fontId="21" fillId="0" borderId="0"/>
    <xf numFmtId="0" fontId="75" fillId="0" borderId="0"/>
    <xf numFmtId="0" fontId="18" fillId="0" borderId="0"/>
    <xf numFmtId="0" fontId="2" fillId="0" borderId="0">
      <alignment vertical="top"/>
    </xf>
    <xf numFmtId="0" fontId="75" fillId="0" borderId="0"/>
    <xf numFmtId="0" fontId="28" fillId="0" borderId="0"/>
    <xf numFmtId="0" fontId="21" fillId="0" borderId="0"/>
    <xf numFmtId="0" fontId="18" fillId="0" borderId="0"/>
    <xf numFmtId="0" fontId="2" fillId="0" borderId="0">
      <alignment vertical="top"/>
    </xf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8" fillId="0" borderId="0"/>
    <xf numFmtId="0" fontId="2" fillId="0" borderId="0">
      <alignment vertical="top"/>
    </xf>
    <xf numFmtId="0" fontId="2" fillId="0" borderId="0"/>
    <xf numFmtId="0" fontId="75" fillId="0" borderId="0"/>
    <xf numFmtId="0" fontId="2" fillId="0" borderId="0">
      <alignment vertical="top"/>
    </xf>
    <xf numFmtId="0" fontId="75" fillId="0" borderId="0"/>
    <xf numFmtId="0" fontId="75" fillId="0" borderId="0"/>
    <xf numFmtId="0" fontId="75" fillId="0" borderId="0"/>
    <xf numFmtId="0" fontId="75" fillId="0" borderId="0"/>
    <xf numFmtId="202" fontId="82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1" fillId="0" borderId="0"/>
    <xf numFmtId="0" fontId="18" fillId="0" borderId="0"/>
    <xf numFmtId="0" fontId="2" fillId="0" borderId="0">
      <alignment vertical="top"/>
    </xf>
    <xf numFmtId="0" fontId="75" fillId="0" borderId="0"/>
    <xf numFmtId="0" fontId="2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>
      <alignment vertical="top"/>
    </xf>
    <xf numFmtId="0" fontId="21" fillId="0" borderId="0"/>
    <xf numFmtId="0" fontId="75" fillId="0" borderId="0"/>
    <xf numFmtId="0" fontId="18" fillId="0" borderId="0"/>
    <xf numFmtId="0" fontId="21" fillId="0" borderId="0"/>
    <xf numFmtId="0" fontId="1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8" fillId="0" borderId="0"/>
    <xf numFmtId="0" fontId="28" fillId="0" borderId="0"/>
    <xf numFmtId="0" fontId="28" fillId="0" borderId="0"/>
    <xf numFmtId="0" fontId="2" fillId="0" borderId="0">
      <alignment vertical="top"/>
    </xf>
    <xf numFmtId="0" fontId="75" fillId="0" borderId="0"/>
    <xf numFmtId="0" fontId="75" fillId="0" borderId="0"/>
    <xf numFmtId="0" fontId="28" fillId="0" borderId="0"/>
    <xf numFmtId="0" fontId="2" fillId="0" borderId="0">
      <alignment vertical="top"/>
    </xf>
    <xf numFmtId="0" fontId="84" fillId="0" borderId="0"/>
    <xf numFmtId="0" fontId="2" fillId="0" borderId="0"/>
    <xf numFmtId="0" fontId="2" fillId="0" borderId="0"/>
    <xf numFmtId="0" fontId="21" fillId="0" borderId="0"/>
    <xf numFmtId="0" fontId="18" fillId="0" borderId="0"/>
    <xf numFmtId="0" fontId="2" fillId="0" borderId="0">
      <alignment vertical="top"/>
    </xf>
    <xf numFmtId="0" fontId="75" fillId="0" borderId="0"/>
    <xf numFmtId="0" fontId="2" fillId="0" borderId="0"/>
    <xf numFmtId="0" fontId="28" fillId="0" borderId="0"/>
    <xf numFmtId="0" fontId="2" fillId="0" borderId="0">
      <alignment vertical="top"/>
    </xf>
    <xf numFmtId="0" fontId="75" fillId="0" borderId="0"/>
    <xf numFmtId="0" fontId="2" fillId="0" borderId="0"/>
    <xf numFmtId="0" fontId="2" fillId="0" borderId="0">
      <alignment vertical="top"/>
    </xf>
    <xf numFmtId="0" fontId="75" fillId="0" borderId="0"/>
    <xf numFmtId="0" fontId="2" fillId="0" borderId="0">
      <alignment vertical="top"/>
    </xf>
    <xf numFmtId="0" fontId="75" fillId="0" borderId="0"/>
    <xf numFmtId="0" fontId="28" fillId="0" borderId="0"/>
    <xf numFmtId="0" fontId="28" fillId="0" borderId="0"/>
    <xf numFmtId="0" fontId="2" fillId="0" borderId="0">
      <alignment vertical="top"/>
    </xf>
    <xf numFmtId="0" fontId="75" fillId="0" borderId="0"/>
    <xf numFmtId="0" fontId="2" fillId="0" borderId="0">
      <alignment vertical="top"/>
    </xf>
    <xf numFmtId="0" fontId="2" fillId="0" borderId="0">
      <alignment vertical="top"/>
    </xf>
    <xf numFmtId="0" fontId="75" fillId="0" borderId="0"/>
    <xf numFmtId="0" fontId="18" fillId="0" borderId="0"/>
    <xf numFmtId="0" fontId="30" fillId="0" borderId="0" applyNumberFormat="0" applyFill="0" applyBorder="0"/>
    <xf numFmtId="0" fontId="75" fillId="63" borderId="26" applyNumberFormat="0" applyFont="0" applyAlignment="0" applyProtection="0"/>
    <xf numFmtId="0" fontId="75" fillId="63" borderId="26" applyNumberFormat="0" applyFont="0" applyAlignment="0" applyProtection="0"/>
    <xf numFmtId="0" fontId="56" fillId="10" borderId="13" applyNumberFormat="0" applyFont="0" applyAlignment="0" applyProtection="0"/>
    <xf numFmtId="0" fontId="75" fillId="63" borderId="26" applyNumberFormat="0" applyFont="0" applyAlignment="0" applyProtection="0"/>
    <xf numFmtId="0" fontId="75" fillId="63" borderId="26" applyNumberFormat="0" applyFont="0" applyAlignment="0" applyProtection="0"/>
    <xf numFmtId="0" fontId="2" fillId="10" borderId="13" applyNumberFormat="0" applyFont="0" applyAlignment="0" applyProtection="0"/>
    <xf numFmtId="0" fontId="56" fillId="10" borderId="13" applyNumberFormat="0" applyFont="0" applyAlignment="0" applyProtection="0"/>
    <xf numFmtId="0" fontId="2" fillId="10" borderId="13" applyNumberFormat="0" applyFont="0" applyAlignment="0" applyProtection="0"/>
    <xf numFmtId="0" fontId="75" fillId="63" borderId="26" applyNumberFormat="0" applyFont="0" applyAlignment="0" applyProtection="0"/>
    <xf numFmtId="0" fontId="75" fillId="63" borderId="26" applyNumberFormat="0" applyFont="0" applyAlignment="0" applyProtection="0"/>
    <xf numFmtId="0" fontId="45" fillId="0" borderId="0" applyNumberFormat="0" applyFill="0" applyBorder="0" applyProtection="0"/>
    <xf numFmtId="0" fontId="37" fillId="0" borderId="0" applyNumberFormat="0" applyFill="0" applyBorder="0" applyProtection="0">
      <alignment horizontal="left"/>
    </xf>
    <xf numFmtId="178" fontId="35" fillId="0" borderId="0" applyNumberFormat="0" applyFill="0" applyBorder="0" applyProtection="0"/>
    <xf numFmtId="0" fontId="104" fillId="55" borderId="27" applyNumberFormat="0" applyAlignment="0" applyProtection="0"/>
    <xf numFmtId="0" fontId="15" fillId="8" borderId="14" applyNumberFormat="0" applyAlignment="0" applyProtection="0"/>
    <xf numFmtId="0" fontId="15" fillId="12" borderId="14" applyNumberFormat="0" applyAlignment="0" applyProtection="0"/>
    <xf numFmtId="0" fontId="15" fillId="8" borderId="14" applyNumberFormat="0" applyAlignment="0" applyProtection="0"/>
    <xf numFmtId="0" fontId="15" fillId="12" borderId="14" applyNumberFormat="0" applyAlignment="0" applyProtection="0"/>
    <xf numFmtId="9" fontId="75" fillId="0" borderId="0" applyFont="0" applyFill="0" applyBorder="0" applyAlignment="0" applyProtection="0"/>
    <xf numFmtId="180" fontId="23" fillId="0" borderId="0"/>
    <xf numFmtId="179" fontId="23" fillId="0" borderId="0"/>
    <xf numFmtId="190" fontId="23" fillId="0" borderId="0"/>
    <xf numFmtId="190" fontId="23" fillId="0" borderId="0"/>
    <xf numFmtId="195" fontId="23" fillId="0" borderId="0" applyFont="0" applyFill="0" applyBorder="0" applyAlignment="0" applyProtection="0"/>
    <xf numFmtId="182" fontId="23" fillId="0" borderId="2"/>
    <xf numFmtId="196" fontId="6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9" fillId="0" borderId="0" applyNumberFormat="0" applyFill="0" applyBorder="0"/>
    <xf numFmtId="44" fontId="22" fillId="0" borderId="0" applyFill="0" applyBorder="0" applyProtection="0"/>
    <xf numFmtId="0" fontId="31" fillId="0" borderId="0" applyNumberFormat="0" applyFill="0" applyBorder="0" applyProtection="0"/>
    <xf numFmtId="40" fontId="72" fillId="29" borderId="0">
      <alignment horizontal="left"/>
    </xf>
    <xf numFmtId="40" fontId="72" fillId="29" borderId="0">
      <alignment horizontal="left"/>
    </xf>
    <xf numFmtId="0" fontId="73" fillId="29" borderId="0">
      <alignment horizontal="left"/>
      <protection locked="0"/>
    </xf>
    <xf numFmtId="14" fontId="73" fillId="29" borderId="0">
      <alignment horizontal="left"/>
      <protection locked="0"/>
    </xf>
    <xf numFmtId="41" fontId="22" fillId="0" borderId="0" applyFill="0" applyBorder="0" applyProtection="0"/>
    <xf numFmtId="43" fontId="22" fillId="0" borderId="0" applyFill="0" applyBorder="0" applyProtection="0"/>
    <xf numFmtId="49" fontId="35" fillId="0" borderId="0" applyFill="0" applyBorder="0" applyProtection="0"/>
    <xf numFmtId="186" fontId="35" fillId="0" borderId="0" applyFill="0" applyBorder="0" applyProtection="0">
      <alignment horizontal="center"/>
    </xf>
    <xf numFmtId="186" fontId="46" fillId="0" borderId="1" applyFill="0" applyBorder="0" applyProtection="0">
      <alignment horizontal="center" wrapText="1"/>
    </xf>
    <xf numFmtId="186" fontId="46" fillId="0" borderId="0" applyFill="0" applyBorder="0" applyProtection="0">
      <alignment horizontal="right"/>
    </xf>
    <xf numFmtId="0" fontId="35" fillId="0" borderId="0" applyNumberFormat="0" applyFill="0" applyBorder="0" applyProtection="0">
      <alignment horizontal="right" wrapText="1"/>
    </xf>
    <xf numFmtId="0" fontId="35" fillId="0" borderId="1" applyFill="0" applyBorder="0" applyProtection="0">
      <alignment wrapText="1"/>
    </xf>
    <xf numFmtId="178" fontId="35" fillId="0" borderId="0" applyNumberFormat="0" applyFill="0" applyBorder="0" applyProtection="0">
      <alignment horizontal="left"/>
    </xf>
    <xf numFmtId="178" fontId="25" fillId="0" borderId="0" applyFill="0" applyBorder="0" applyProtection="0">
      <alignment horizontal="left"/>
    </xf>
    <xf numFmtId="0" fontId="47" fillId="0" borderId="0" applyFill="0" applyBorder="0" applyProtection="0"/>
    <xf numFmtId="178" fontId="25" fillId="0" borderId="0" applyNumberFormat="0" applyFill="0" applyBorder="0" applyProtection="0">
      <alignment horizontal="left" vertical="top"/>
    </xf>
    <xf numFmtId="0" fontId="25" fillId="0" borderId="0" applyNumberFormat="0" applyFill="0" applyBorder="0" applyProtection="0">
      <alignment wrapText="1"/>
    </xf>
    <xf numFmtId="0" fontId="32" fillId="0" borderId="0" applyNumberFormat="0" applyFill="0" applyBorder="0" applyProtection="0"/>
    <xf numFmtId="186" fontId="38" fillId="0" borderId="1" applyNumberFormat="0" applyFill="0" applyBorder="0" applyProtection="0">
      <alignment horizontal="left" wrapText="1"/>
    </xf>
    <xf numFmtId="186" fontId="38" fillId="0" borderId="1" applyNumberFormat="0" applyFill="0" applyBorder="0" applyProtection="0">
      <alignment horizontal="center" wrapText="1"/>
    </xf>
    <xf numFmtId="41" fontId="48" fillId="0" borderId="0" applyFill="0" applyBorder="0" applyProtection="0"/>
    <xf numFmtId="0" fontId="38" fillId="0" borderId="0" applyNumberFormat="0" applyFill="0" applyBorder="0" applyProtection="0">
      <alignment horizontal="center" wrapText="1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center"/>
    </xf>
    <xf numFmtId="189" fontId="43" fillId="0" borderId="0" applyFill="0" applyBorder="0" applyProtection="0">
      <alignment horizontal="center"/>
    </xf>
    <xf numFmtId="43" fontId="49" fillId="0" borderId="0" applyNumberFormat="0" applyFill="0" applyBorder="0" applyProtection="0"/>
    <xf numFmtId="0" fontId="38" fillId="0" borderId="1" applyNumberFormat="0" applyFill="0" applyBorder="0" applyProtection="0">
      <alignment horizontal="center"/>
    </xf>
    <xf numFmtId="1" fontId="25" fillId="0" borderId="1" applyFill="0" applyBorder="0" applyProtection="0"/>
    <xf numFmtId="188" fontId="43" fillId="0" borderId="0" applyFill="0" applyBorder="0" applyProtection="0">
      <alignment horizontal="center"/>
    </xf>
    <xf numFmtId="188" fontId="22" fillId="0" borderId="15" applyFill="0" applyBorder="0" applyProtection="0">
      <alignment horizontal="right"/>
    </xf>
    <xf numFmtId="187" fontId="22" fillId="0" borderId="0" applyFill="0" applyBorder="0" applyProtection="0">
      <alignment horizontal="center"/>
    </xf>
    <xf numFmtId="40" fontId="67" fillId="0" borderId="0">
      <alignment horizontal="right"/>
    </xf>
    <xf numFmtId="40" fontId="65" fillId="29" borderId="0">
      <alignment horizontal="left"/>
    </xf>
    <xf numFmtId="40" fontId="65" fillId="29" borderId="0">
      <alignment horizontal="left"/>
    </xf>
    <xf numFmtId="40" fontId="2" fillId="0" borderId="0"/>
    <xf numFmtId="40" fontId="67" fillId="0" borderId="5">
      <alignment horizontal="right"/>
    </xf>
    <xf numFmtId="40" fontId="67" fillId="0" borderId="0">
      <alignment horizontal="left"/>
    </xf>
    <xf numFmtId="40" fontId="2" fillId="0" borderId="0"/>
    <xf numFmtId="40" fontId="67" fillId="0" borderId="0">
      <alignment horizontal="left"/>
    </xf>
    <xf numFmtId="0" fontId="67" fillId="0" borderId="0">
      <alignment horizontal="right"/>
      <protection locked="0"/>
    </xf>
    <xf numFmtId="200" fontId="67" fillId="0" borderId="5">
      <alignment horizontal="right"/>
    </xf>
    <xf numFmtId="40" fontId="67" fillId="0" borderId="0">
      <alignment horizontal="right"/>
    </xf>
    <xf numFmtId="40" fontId="67" fillId="0" borderId="0">
      <alignment horizontal="right"/>
    </xf>
    <xf numFmtId="0" fontId="67" fillId="28" borderId="0">
      <alignment horizontal="left"/>
    </xf>
    <xf numFmtId="40" fontId="2" fillId="0" borderId="0"/>
    <xf numFmtId="0" fontId="67" fillId="28" borderId="0">
      <alignment horizontal="left"/>
    </xf>
    <xf numFmtId="0" fontId="67" fillId="0" borderId="0">
      <alignment horizontal="right"/>
      <protection locked="0"/>
    </xf>
    <xf numFmtId="200" fontId="67" fillId="0" borderId="0">
      <alignment horizontal="right"/>
    </xf>
    <xf numFmtId="40" fontId="67" fillId="0" borderId="0">
      <alignment horizontal="right"/>
    </xf>
    <xf numFmtId="0" fontId="5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" fontId="34" fillId="0" borderId="0" applyFill="0" applyBorder="0" applyProtection="0">
      <alignment horizontal="center"/>
    </xf>
    <xf numFmtId="0" fontId="33" fillId="0" borderId="1" applyNumberFormat="0" applyFill="0" applyBorder="0" applyProtection="0">
      <alignment horizontal="center"/>
    </xf>
    <xf numFmtId="0" fontId="32" fillId="0" borderId="0" applyNumberFormat="0" applyFill="0" applyBorder="0" applyProtection="0"/>
    <xf numFmtId="0" fontId="106" fillId="0" borderId="28" applyNumberFormat="0" applyFill="0" applyAlignment="0" applyProtection="0"/>
    <xf numFmtId="0" fontId="26" fillId="0" borderId="16">
      <protection locked="0"/>
    </xf>
    <xf numFmtId="0" fontId="16" fillId="0" borderId="17" applyNumberFormat="0" applyFill="0" applyAlignment="0" applyProtection="0"/>
    <xf numFmtId="0" fontId="2" fillId="0" borderId="16"/>
    <xf numFmtId="0" fontId="16" fillId="0" borderId="17" applyNumberFormat="0" applyFill="0" applyAlignment="0" applyProtection="0"/>
    <xf numFmtId="0" fontId="2" fillId="0" borderId="16"/>
    <xf numFmtId="0" fontId="2" fillId="0" borderId="18" applyNumberFormat="0" applyFont="0" applyBorder="0" applyAlignment="0" applyProtection="0"/>
    <xf numFmtId="0" fontId="2" fillId="0" borderId="18" applyNumberFormat="0" applyFont="0" applyBorder="0" applyAlignment="0" applyProtection="0"/>
    <xf numFmtId="0" fontId="2" fillId="0" borderId="18" applyNumberFormat="0" applyFont="0" applyBorder="0" applyAlignment="0" applyProtection="0"/>
    <xf numFmtId="0" fontId="2" fillId="0" borderId="18" applyNumberFormat="0" applyFont="0" applyBorder="0" applyAlignment="0" applyProtection="0"/>
    <xf numFmtId="0" fontId="71" fillId="0" borderId="0"/>
    <xf numFmtId="40" fontId="22" fillId="0" borderId="10"/>
    <xf numFmtId="40" fontId="22" fillId="0" borderId="10"/>
    <xf numFmtId="0" fontId="22" fillId="0" borderId="0"/>
    <xf numFmtId="0" fontId="22" fillId="0" borderId="0"/>
    <xf numFmtId="40" fontId="22" fillId="0" borderId="0"/>
    <xf numFmtId="201" fontId="22" fillId="0" borderId="0"/>
    <xf numFmtId="40" fontId="22" fillId="0" borderId="0"/>
    <xf numFmtId="0" fontId="22" fillId="0" borderId="0"/>
    <xf numFmtId="0" fontId="22" fillId="0" borderId="0"/>
    <xf numFmtId="40" fontId="67" fillId="0" borderId="10">
      <alignment horizontal="right"/>
    </xf>
    <xf numFmtId="40" fontId="67" fillId="0" borderId="0">
      <alignment horizontal="left"/>
    </xf>
    <xf numFmtId="40" fontId="2" fillId="0" borderId="0"/>
    <xf numFmtId="40" fontId="67" fillId="0" borderId="0">
      <alignment horizontal="left"/>
    </xf>
    <xf numFmtId="0" fontId="67" fillId="0" borderId="0">
      <alignment horizontal="right"/>
      <protection locked="0"/>
    </xf>
    <xf numFmtId="200" fontId="67" fillId="0" borderId="10">
      <alignment horizontal="right"/>
    </xf>
    <xf numFmtId="40" fontId="67" fillId="0" borderId="0">
      <alignment horizontal="right"/>
    </xf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03" fillId="0" borderId="0"/>
    <xf numFmtId="38" fontId="124" fillId="0" borderId="0" applyBorder="0">
      <alignment horizontal="right"/>
    </xf>
    <xf numFmtId="0" fontId="71" fillId="0" borderId="0" applyFill="0" applyBorder="0" applyProtection="0">
      <alignment horizontal="center"/>
      <protection locked="0"/>
    </xf>
    <xf numFmtId="9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0" fontId="103" fillId="0" borderId="0"/>
    <xf numFmtId="0" fontId="103" fillId="0" borderId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43" fontId="103" fillId="0" borderId="0" applyFont="0" applyFill="0" applyBorder="0" applyAlignment="0" applyProtection="0"/>
  </cellStyleXfs>
  <cellXfs count="415">
    <xf numFmtId="0" fontId="0" fillId="0" borderId="0" xfId="0"/>
    <xf numFmtId="0" fontId="86" fillId="0" borderId="0" xfId="1523" applyFont="1" applyFill="1" applyBorder="1"/>
    <xf numFmtId="0" fontId="108" fillId="0" borderId="0" xfId="1523" applyFont="1" applyFill="1" applyBorder="1" applyAlignment="1">
      <alignment horizontal="center"/>
    </xf>
    <xf numFmtId="164" fontId="86" fillId="0" borderId="0" xfId="1523" applyNumberFormat="1" applyFont="1" applyFill="1" applyBorder="1"/>
    <xf numFmtId="167" fontId="86" fillId="0" borderId="0" xfId="1523" applyNumberFormat="1" applyFont="1" applyFill="1" applyBorder="1"/>
    <xf numFmtId="166" fontId="103" fillId="0" borderId="0" xfId="1790" applyNumberFormat="1" applyFont="1" applyFill="1" applyBorder="1"/>
    <xf numFmtId="0" fontId="109" fillId="0" borderId="0" xfId="0" applyFont="1"/>
    <xf numFmtId="0" fontId="109" fillId="0" borderId="0" xfId="0" applyFont="1" applyFill="1" applyBorder="1"/>
    <xf numFmtId="0" fontId="0" fillId="0" borderId="0" xfId="0" applyBorder="1"/>
    <xf numFmtId="0" fontId="110" fillId="0" borderId="0" xfId="0" applyFont="1" applyBorder="1" applyAlignment="1">
      <alignment horizontal="center"/>
    </xf>
    <xf numFmtId="0" fontId="111" fillId="0" borderId="0" xfId="0" applyFont="1" applyFill="1" applyBorder="1" applyAlignment="1">
      <alignment horizontal="right"/>
    </xf>
    <xf numFmtId="0" fontId="109" fillId="0" borderId="0" xfId="0" applyFont="1" applyBorder="1"/>
    <xf numFmtId="166" fontId="109" fillId="0" borderId="0" xfId="0" applyNumberFormat="1" applyFont="1"/>
    <xf numFmtId="43" fontId="75" fillId="0" borderId="0" xfId="276" applyFont="1"/>
    <xf numFmtId="1" fontId="86" fillId="0" borderId="0" xfId="1378" applyNumberFormat="1" applyFont="1" applyFill="1" applyBorder="1" applyAlignment="1">
      <alignment horizontal="center"/>
    </xf>
    <xf numFmtId="164" fontId="86" fillId="0" borderId="0" xfId="1378" applyNumberFormat="1" applyFont="1" applyFill="1" applyBorder="1"/>
    <xf numFmtId="1" fontId="86" fillId="64" borderId="0" xfId="1378" applyNumberFormat="1" applyFont="1" applyFill="1" applyBorder="1" applyAlignment="1">
      <alignment horizontal="center"/>
    </xf>
    <xf numFmtId="164" fontId="86" fillId="65" borderId="0" xfId="1378" applyNumberFormat="1" applyFont="1" applyFill="1" applyBorder="1"/>
    <xf numFmtId="0" fontId="108" fillId="0" borderId="0" xfId="1523" applyFont="1" applyFill="1" applyBorder="1"/>
    <xf numFmtId="0" fontId="108" fillId="0" borderId="0" xfId="1523" quotePrefix="1" applyNumberFormat="1" applyFont="1" applyFill="1" applyBorder="1" applyAlignment="1">
      <alignment horizontal="center"/>
    </xf>
    <xf numFmtId="166" fontId="86" fillId="0" borderId="0" xfId="1689" applyNumberFormat="1" applyFont="1" applyFill="1" applyBorder="1"/>
    <xf numFmtId="166" fontId="86" fillId="65" borderId="0" xfId="1689" applyNumberFormat="1" applyFont="1" applyFill="1" applyBorder="1"/>
    <xf numFmtId="0" fontId="108" fillId="0" borderId="0" xfId="0" applyFont="1" applyFill="1" applyBorder="1" applyAlignment="1">
      <alignment horizontal="center"/>
    </xf>
    <xf numFmtId="0" fontId="108" fillId="0" borderId="0" xfId="0" quotePrefix="1" applyFont="1" applyFill="1" applyBorder="1" applyAlignment="1">
      <alignment horizontal="center"/>
    </xf>
    <xf numFmtId="164" fontId="103" fillId="0" borderId="0" xfId="0" applyNumberFormat="1" applyFont="1" applyFill="1" applyBorder="1"/>
    <xf numFmtId="0" fontId="103" fillId="0" borderId="0" xfId="0" applyFont="1" applyFill="1" applyBorder="1"/>
    <xf numFmtId="166" fontId="103" fillId="0" borderId="0" xfId="1689" applyNumberFormat="1" applyFont="1" applyFill="1" applyBorder="1"/>
    <xf numFmtId="0" fontId="108" fillId="0" borderId="0" xfId="0" applyFont="1" applyFill="1" applyBorder="1"/>
    <xf numFmtId="169" fontId="86" fillId="64" borderId="0" xfId="1523" applyNumberFormat="1" applyFont="1" applyFill="1" applyBorder="1" applyAlignment="1">
      <alignment horizontal="center"/>
    </xf>
    <xf numFmtId="164" fontId="86" fillId="64" borderId="0" xfId="1523" applyNumberFormat="1" applyFont="1" applyFill="1" applyBorder="1" applyAlignment="1"/>
    <xf numFmtId="169" fontId="86" fillId="0" borderId="0" xfId="1523" applyNumberFormat="1" applyFont="1" applyFill="1" applyBorder="1" applyAlignment="1">
      <alignment horizontal="center"/>
    </xf>
    <xf numFmtId="164" fontId="86" fillId="0" borderId="0" xfId="1523" applyNumberFormat="1" applyFont="1" applyFill="1" applyBorder="1" applyAlignment="1"/>
    <xf numFmtId="37" fontId="86" fillId="0" borderId="0" xfId="335" applyNumberFormat="1" applyFont="1" applyFill="1" applyBorder="1"/>
    <xf numFmtId="37" fontId="86" fillId="64" borderId="0" xfId="335" applyNumberFormat="1" applyFont="1" applyFill="1" applyBorder="1"/>
    <xf numFmtId="0" fontId="103" fillId="0" borderId="0" xfId="0" applyFont="1" applyBorder="1"/>
    <xf numFmtId="0" fontId="99" fillId="0" borderId="0" xfId="0" quotePrefix="1" applyNumberFormat="1" applyFont="1" applyBorder="1" applyAlignment="1">
      <alignment horizontal="center"/>
    </xf>
    <xf numFmtId="0" fontId="103" fillId="0" borderId="0" xfId="0" applyFont="1"/>
    <xf numFmtId="5" fontId="103" fillId="0" borderId="0" xfId="0" applyNumberFormat="1" applyFont="1" applyBorder="1"/>
    <xf numFmtId="0" fontId="107" fillId="0" borderId="0" xfId="0" applyFont="1" applyBorder="1"/>
    <xf numFmtId="0" fontId="110" fillId="0" borderId="0" xfId="0" applyFont="1" applyBorder="1" applyAlignment="1">
      <alignment horizontal="right"/>
    </xf>
    <xf numFmtId="167" fontId="107" fillId="0" borderId="0" xfId="276" applyNumberFormat="1" applyFont="1" applyBorder="1"/>
    <xf numFmtId="5" fontId="107" fillId="0" borderId="0" xfId="0" applyNumberFormat="1" applyFont="1" applyBorder="1"/>
    <xf numFmtId="0" fontId="0" fillId="0" borderId="0" xfId="0" applyBorder="1" applyAlignment="1">
      <alignment horizontal="right"/>
    </xf>
    <xf numFmtId="0" fontId="108" fillId="0" borderId="0" xfId="1523" quotePrefix="1" applyFont="1" applyFill="1" applyBorder="1" applyAlignment="1">
      <alignment horizontal="center"/>
    </xf>
    <xf numFmtId="0" fontId="108" fillId="0" borderId="5" xfId="1523" applyFont="1" applyFill="1" applyBorder="1" applyAlignment="1">
      <alignment horizontal="center" wrapText="1"/>
    </xf>
    <xf numFmtId="0" fontId="108" fillId="0" borderId="1" xfId="1523" applyFont="1" applyFill="1" applyBorder="1" applyAlignment="1">
      <alignment horizontal="center" wrapText="1"/>
    </xf>
    <xf numFmtId="0" fontId="108" fillId="0" borderId="1" xfId="1523" applyFont="1" applyFill="1" applyBorder="1" applyAlignment="1">
      <alignment horizontal="center"/>
    </xf>
    <xf numFmtId="167" fontId="2" fillId="65" borderId="0" xfId="276" applyNumberFormat="1" applyFont="1" applyFill="1" applyBorder="1"/>
    <xf numFmtId="167" fontId="2" fillId="0" borderId="0" xfId="276" applyNumberFormat="1" applyFont="1" applyFill="1" applyBorder="1"/>
    <xf numFmtId="176" fontId="2" fillId="65" borderId="0" xfId="276" applyNumberFormat="1" applyFont="1" applyFill="1" applyBorder="1"/>
    <xf numFmtId="167" fontId="75" fillId="0" borderId="0" xfId="276" applyNumberFormat="1" applyFont="1" applyBorder="1"/>
    <xf numFmtId="169" fontId="0" fillId="0" borderId="0" xfId="0" applyNumberFormat="1" applyBorder="1"/>
    <xf numFmtId="176" fontId="86" fillId="0" borderId="2" xfId="567" applyNumberFormat="1" applyFont="1" applyFill="1" applyBorder="1"/>
    <xf numFmtId="164" fontId="86" fillId="64" borderId="0" xfId="1378" applyNumberFormat="1" applyFont="1" applyFill="1" applyBorder="1"/>
    <xf numFmtId="166" fontId="86" fillId="64" borderId="0" xfId="1689" applyNumberFormat="1" applyFont="1" applyFill="1" applyBorder="1"/>
    <xf numFmtId="0" fontId="108" fillId="0" borderId="1" xfId="0" applyFont="1" applyFill="1" applyBorder="1" applyAlignment="1">
      <alignment horizontal="center" wrapText="1"/>
    </xf>
    <xf numFmtId="0" fontId="108" fillId="0" borderId="1" xfId="0" applyFont="1" applyFill="1" applyBorder="1" applyAlignment="1">
      <alignment horizontal="center"/>
    </xf>
    <xf numFmtId="0" fontId="3" fillId="0" borderId="0" xfId="1378" applyFont="1" applyFill="1" applyBorder="1"/>
    <xf numFmtId="0" fontId="3" fillId="0" borderId="0" xfId="1378" applyFont="1" applyFill="1" applyBorder="1" applyAlignment="1">
      <alignment horizontal="center"/>
    </xf>
    <xf numFmtId="0" fontId="4" fillId="0" borderId="0" xfId="1378" applyFont="1" applyFill="1" applyBorder="1" applyAlignment="1">
      <alignment horizontal="center" wrapText="1"/>
    </xf>
    <xf numFmtId="0" fontId="112" fillId="0" borderId="29" xfId="1378" applyFont="1" applyFill="1" applyBorder="1" applyAlignment="1">
      <alignment horizontal="center" wrapText="1"/>
    </xf>
    <xf numFmtId="168" fontId="112" fillId="0" borderId="29" xfId="1378" applyNumberFormat="1" applyFont="1" applyFill="1" applyBorder="1" applyAlignment="1">
      <alignment horizontal="center" wrapText="1"/>
    </xf>
    <xf numFmtId="1" fontId="113" fillId="64" borderId="0" xfId="1378" applyNumberFormat="1" applyFont="1" applyFill="1" applyBorder="1" applyAlignment="1">
      <alignment horizontal="center"/>
    </xf>
    <xf numFmtId="164" fontId="113" fillId="64" borderId="0" xfId="1378" applyNumberFormat="1" applyFont="1" applyFill="1" applyBorder="1"/>
    <xf numFmtId="1" fontId="113" fillId="0" borderId="0" xfId="1378" applyNumberFormat="1" applyFont="1" applyFill="1" applyBorder="1" applyAlignment="1">
      <alignment horizontal="center"/>
    </xf>
    <xf numFmtId="164" fontId="113" fillId="0" borderId="0" xfId="1378" applyNumberFormat="1" applyFont="1" applyFill="1" applyBorder="1"/>
    <xf numFmtId="164" fontId="113" fillId="65" borderId="0" xfId="1378" applyNumberFormat="1" applyFont="1" applyFill="1" applyBorder="1"/>
    <xf numFmtId="164" fontId="114" fillId="0" borderId="0" xfId="1378" applyNumberFormat="1" applyFont="1" applyFill="1" applyBorder="1"/>
    <xf numFmtId="165" fontId="114" fillId="0" borderId="0" xfId="1378" applyNumberFormat="1" applyFont="1" applyFill="1" applyBorder="1"/>
    <xf numFmtId="0" fontId="115" fillId="0" borderId="0" xfId="1378" applyFont="1" applyFill="1" applyBorder="1"/>
    <xf numFmtId="167" fontId="113" fillId="64" borderId="0" xfId="276" applyNumberFormat="1" applyFont="1" applyFill="1" applyBorder="1" applyAlignment="1">
      <alignment horizontal="right"/>
    </xf>
    <xf numFmtId="167" fontId="113" fillId="64" borderId="0" xfId="276" applyNumberFormat="1" applyFont="1" applyFill="1" applyBorder="1"/>
    <xf numFmtId="42" fontId="113" fillId="0" borderId="2" xfId="1378" applyNumberFormat="1" applyFont="1" applyFill="1" applyBorder="1" applyAlignment="1">
      <alignment horizontal="center"/>
    </xf>
    <xf numFmtId="167" fontId="103" fillId="0" borderId="0" xfId="276" applyNumberFormat="1" applyFont="1"/>
    <xf numFmtId="176" fontId="103" fillId="0" borderId="0" xfId="553" applyNumberFormat="1" applyFont="1"/>
    <xf numFmtId="176" fontId="103" fillId="0" borderId="0" xfId="0" applyNumberFormat="1" applyFont="1"/>
    <xf numFmtId="0" fontId="103" fillId="0" borderId="0" xfId="0" applyFont="1" applyAlignment="1">
      <alignment horizontal="center"/>
    </xf>
    <xf numFmtId="0" fontId="103" fillId="0" borderId="0" xfId="0" applyFont="1" applyBorder="1" applyAlignment="1">
      <alignment horizontal="center"/>
    </xf>
    <xf numFmtId="0" fontId="103" fillId="0" borderId="0" xfId="553" applyNumberFormat="1" applyFont="1" applyBorder="1" applyAlignment="1">
      <alignment horizontal="center"/>
    </xf>
    <xf numFmtId="0" fontId="116" fillId="0" borderId="0" xfId="0" applyFont="1"/>
    <xf numFmtId="0" fontId="116" fillId="0" borderId="0" xfId="0" applyFont="1" applyAlignment="1">
      <alignment horizontal="center"/>
    </xf>
    <xf numFmtId="0" fontId="116" fillId="0" borderId="0" xfId="0" applyNumberFormat="1" applyFont="1" applyAlignment="1">
      <alignment horizontal="center"/>
    </xf>
    <xf numFmtId="0" fontId="116" fillId="0" borderId="0" xfId="0" applyFont="1" applyBorder="1" applyAlignment="1">
      <alignment horizontal="center"/>
    </xf>
    <xf numFmtId="0" fontId="116" fillId="0" borderId="1" xfId="0" applyFont="1" applyBorder="1"/>
    <xf numFmtId="0" fontId="116" fillId="0" borderId="0" xfId="0" applyFont="1" applyBorder="1"/>
    <xf numFmtId="0" fontId="116" fillId="0" borderId="1" xfId="0" applyFont="1" applyBorder="1" applyAlignment="1">
      <alignment horizontal="center"/>
    </xf>
    <xf numFmtId="0" fontId="116" fillId="0" borderId="1" xfId="553" applyNumberFormat="1" applyFont="1" applyBorder="1" applyAlignment="1">
      <alignment horizontal="center"/>
    </xf>
    <xf numFmtId="176" fontId="86" fillId="64" borderId="0" xfId="553" applyNumberFormat="1" applyFont="1" applyFill="1" applyBorder="1"/>
    <xf numFmtId="176" fontId="86" fillId="0" borderId="2" xfId="553" applyNumberFormat="1" applyFont="1" applyFill="1" applyBorder="1"/>
    <xf numFmtId="167" fontId="113" fillId="0" borderId="0" xfId="276" applyNumberFormat="1" applyFont="1" applyFill="1" applyBorder="1" applyAlignment="1">
      <alignment horizontal="right"/>
    </xf>
    <xf numFmtId="167" fontId="113" fillId="0" borderId="0" xfId="276" applyNumberFormat="1" applyFont="1" applyFill="1" applyBorder="1"/>
    <xf numFmtId="0" fontId="108" fillId="0" borderId="0" xfId="1523" applyFont="1" applyFill="1" applyBorder="1" applyAlignment="1">
      <alignment horizontal="center"/>
    </xf>
    <xf numFmtId="176" fontId="0" fillId="0" borderId="0" xfId="0" applyNumberFormat="1"/>
    <xf numFmtId="176" fontId="0" fillId="0" borderId="0" xfId="0" applyNumberFormat="1" applyBorder="1"/>
    <xf numFmtId="176" fontId="86" fillId="0" borderId="0" xfId="553" applyNumberFormat="1" applyFont="1" applyFill="1" applyBorder="1"/>
    <xf numFmtId="0" fontId="112" fillId="0" borderId="0" xfId="1378" applyFont="1" applyFill="1" applyBorder="1" applyAlignment="1">
      <alignment horizontal="center" wrapText="1"/>
    </xf>
    <xf numFmtId="168" fontId="112" fillId="0" borderId="0" xfId="1378" applyNumberFormat="1" applyFont="1" applyFill="1" applyBorder="1" applyAlignment="1">
      <alignment horizontal="center" wrapText="1"/>
    </xf>
    <xf numFmtId="0" fontId="83" fillId="0" borderId="0" xfId="1495"/>
    <xf numFmtId="0" fontId="2" fillId="0" borderId="0" xfId="1669" applyFont="1" applyAlignment="1">
      <alignment vertical="center"/>
    </xf>
    <xf numFmtId="0" fontId="2" fillId="0" borderId="0" xfId="1390" applyFont="1" applyAlignment="1">
      <alignment vertical="center"/>
    </xf>
    <xf numFmtId="10" fontId="2" fillId="0" borderId="0" xfId="1390" applyNumberFormat="1" applyFont="1" applyAlignment="1">
      <alignment horizontal="left" vertical="center"/>
    </xf>
    <xf numFmtId="0" fontId="83" fillId="0" borderId="0" xfId="1490"/>
    <xf numFmtId="0" fontId="103" fillId="0" borderId="0" xfId="1490" applyFont="1"/>
    <xf numFmtId="176" fontId="103" fillId="0" borderId="0" xfId="563" applyNumberFormat="1" applyFont="1"/>
    <xf numFmtId="10" fontId="103" fillId="0" borderId="0" xfId="1785" applyNumberFormat="1" applyFont="1"/>
    <xf numFmtId="0" fontId="83" fillId="0" borderId="0" xfId="1490"/>
    <xf numFmtId="0" fontId="2" fillId="0" borderId="0" xfId="1497" applyFont="1" applyAlignment="1">
      <alignment vertical="center"/>
    </xf>
    <xf numFmtId="0" fontId="103" fillId="0" borderId="0" xfId="1490" applyFont="1" applyAlignment="1">
      <alignment horizontal="center"/>
    </xf>
    <xf numFmtId="0" fontId="2" fillId="0" borderId="0" xfId="1497" applyFont="1" applyBorder="1" applyAlignment="1">
      <alignment vertical="center"/>
    </xf>
    <xf numFmtId="0" fontId="103" fillId="0" borderId="0" xfId="1490" applyFont="1" applyBorder="1"/>
    <xf numFmtId="0" fontId="103" fillId="0" borderId="1" xfId="1490" applyFont="1" applyBorder="1" applyAlignment="1">
      <alignment horizontal="center"/>
    </xf>
    <xf numFmtId="0" fontId="83" fillId="0" borderId="0" xfId="1490"/>
    <xf numFmtId="0" fontId="103" fillId="0" borderId="0" xfId="1490" applyFont="1" applyAlignment="1">
      <alignment horizontal="center"/>
    </xf>
    <xf numFmtId="176" fontId="103" fillId="0" borderId="0" xfId="565" applyNumberFormat="1" applyFont="1"/>
    <xf numFmtId="10" fontId="103" fillId="0" borderId="1" xfId="1490" quotePrefix="1" applyNumberFormat="1" applyFont="1" applyBorder="1" applyAlignment="1">
      <alignment horizontal="center"/>
    </xf>
    <xf numFmtId="0" fontId="103" fillId="0" borderId="1" xfId="1490" applyFont="1" applyBorder="1" applyAlignment="1">
      <alignment horizontal="center"/>
    </xf>
    <xf numFmtId="0" fontId="83" fillId="0" borderId="0" xfId="1490"/>
    <xf numFmtId="0" fontId="103" fillId="0" borderId="0" xfId="1490" applyFont="1" applyAlignment="1">
      <alignment horizontal="center"/>
    </xf>
    <xf numFmtId="176" fontId="103" fillId="0" borderId="0" xfId="566" applyNumberFormat="1" applyFont="1"/>
    <xf numFmtId="10" fontId="103" fillId="0" borderId="1" xfId="1490" quotePrefix="1" applyNumberFormat="1" applyFont="1" applyBorder="1" applyAlignment="1">
      <alignment horizontal="center"/>
    </xf>
    <xf numFmtId="9" fontId="103" fillId="0" borderId="0" xfId="1490" quotePrefix="1" applyNumberFormat="1" applyFont="1" applyAlignment="1">
      <alignment horizontal="center"/>
    </xf>
    <xf numFmtId="0" fontId="116" fillId="0" borderId="0" xfId="1523" applyFont="1" applyAlignment="1">
      <alignment horizontal="left"/>
    </xf>
    <xf numFmtId="0" fontId="116" fillId="0" borderId="0" xfId="1523" applyFont="1"/>
    <xf numFmtId="0" fontId="116" fillId="0" borderId="0" xfId="1523" applyFont="1" applyAlignment="1">
      <alignment horizontal="right"/>
    </xf>
    <xf numFmtId="171" fontId="116" fillId="0" borderId="0" xfId="1523" applyNumberFormat="1" applyFont="1" applyAlignment="1">
      <alignment horizontal="right"/>
    </xf>
    <xf numFmtId="197" fontId="103" fillId="0" borderId="0" xfId="1523" applyNumberFormat="1" applyFill="1"/>
    <xf numFmtId="171" fontId="103" fillId="0" borderId="0" xfId="1801" applyNumberFormat="1" applyFont="1" applyFill="1"/>
    <xf numFmtId="1" fontId="113" fillId="67" borderId="0" xfId="1378" applyNumberFormat="1" applyFont="1" applyFill="1" applyBorder="1" applyAlignment="1">
      <alignment horizontal="center"/>
    </xf>
    <xf numFmtId="164" fontId="113" fillId="68" borderId="0" xfId="1378" applyNumberFormat="1" applyFont="1" applyFill="1" applyBorder="1"/>
    <xf numFmtId="197" fontId="103" fillId="0" borderId="0" xfId="1523" applyNumberFormat="1" applyFill="1" applyBorder="1"/>
    <xf numFmtId="0" fontId="103" fillId="0" borderId="0" xfId="1523" applyFill="1" applyBorder="1" applyAlignment="1">
      <alignment horizontal="left"/>
    </xf>
    <xf numFmtId="0" fontId="103" fillId="0" borderId="0" xfId="1523" applyFill="1" applyBorder="1"/>
    <xf numFmtId="170" fontId="103" fillId="0" borderId="0" xfId="1689" applyNumberFormat="1" applyFont="1" applyFill="1" applyBorder="1" applyAlignment="1">
      <alignment horizontal="right"/>
    </xf>
    <xf numFmtId="170" fontId="109" fillId="0" borderId="0" xfId="0" applyNumberFormat="1" applyFont="1" applyFill="1" applyBorder="1"/>
    <xf numFmtId="175" fontId="103" fillId="0" borderId="0" xfId="1689" applyNumberFormat="1" applyFont="1" applyFill="1" applyBorder="1"/>
    <xf numFmtId="167" fontId="109" fillId="0" borderId="0" xfId="276" applyNumberFormat="1" applyFont="1" applyFill="1" applyBorder="1"/>
    <xf numFmtId="170" fontId="109" fillId="0" borderId="0" xfId="0" applyNumberFormat="1" applyFont="1" applyFill="1" applyBorder="1" applyAlignment="1">
      <alignment horizontal="right"/>
    </xf>
    <xf numFmtId="173" fontId="109" fillId="0" borderId="10" xfId="0" applyNumberFormat="1" applyFont="1" applyFill="1" applyBorder="1"/>
    <xf numFmtId="49" fontId="103" fillId="0" borderId="0" xfId="1523" applyNumberFormat="1" applyFill="1" applyBorder="1"/>
    <xf numFmtId="9" fontId="103" fillId="66" borderId="0" xfId="1689" applyFont="1" applyFill="1"/>
    <xf numFmtId="172" fontId="109" fillId="0" borderId="0" xfId="0" applyNumberFormat="1" applyFont="1"/>
    <xf numFmtId="172" fontId="103" fillId="0" borderId="2" xfId="1689" applyNumberFormat="1" applyFont="1" applyFill="1" applyBorder="1"/>
    <xf numFmtId="0" fontId="109" fillId="0" borderId="0" xfId="0" applyFont="1"/>
    <xf numFmtId="0" fontId="109" fillId="0" borderId="0" xfId="0" applyFont="1" applyFill="1" applyBorder="1"/>
    <xf numFmtId="166" fontId="81" fillId="0" borderId="0" xfId="1689" applyNumberFormat="1" applyFont="1" applyFill="1" applyBorder="1"/>
    <xf numFmtId="172" fontId="103" fillId="66" borderId="0" xfId="1523" applyNumberFormat="1" applyFill="1"/>
    <xf numFmtId="198" fontId="103" fillId="66" borderId="0" xfId="1523" applyNumberFormat="1" applyFill="1"/>
    <xf numFmtId="199" fontId="109" fillId="0" borderId="0" xfId="0" applyNumberFormat="1" applyFont="1" applyFill="1" applyBorder="1"/>
    <xf numFmtId="167" fontId="103" fillId="0" borderId="0" xfId="276" applyNumberFormat="1" applyFont="1" applyFill="1" applyBorder="1"/>
    <xf numFmtId="43" fontId="109" fillId="0" borderId="10" xfId="276" applyFont="1" applyFill="1" applyBorder="1"/>
    <xf numFmtId="175" fontId="109" fillId="0" borderId="10" xfId="1689" applyNumberFormat="1" applyFont="1" applyFill="1" applyBorder="1"/>
    <xf numFmtId="167" fontId="109" fillId="0" borderId="1" xfId="276" applyNumberFormat="1" applyFont="1" applyFill="1" applyBorder="1"/>
    <xf numFmtId="0" fontId="117" fillId="0" borderId="0" xfId="0" applyFont="1"/>
    <xf numFmtId="0" fontId="118" fillId="0" borderId="0" xfId="0" applyFont="1"/>
    <xf numFmtId="167" fontId="109" fillId="0" borderId="0" xfId="276" applyNumberFormat="1" applyFont="1"/>
    <xf numFmtId="167" fontId="109" fillId="0" borderId="0" xfId="0" applyNumberFormat="1" applyFont="1"/>
    <xf numFmtId="167" fontId="75" fillId="0" borderId="0" xfId="276" applyNumberFormat="1" applyFont="1" applyBorder="1"/>
    <xf numFmtId="167" fontId="0" fillId="0" borderId="0" xfId="0" applyNumberFormat="1" applyBorder="1"/>
    <xf numFmtId="0" fontId="119" fillId="0" borderId="0" xfId="0" quotePrefix="1" applyNumberFormat="1" applyFont="1" applyBorder="1"/>
    <xf numFmtId="0" fontId="103" fillId="0" borderId="0" xfId="0" quotePrefix="1" applyFont="1"/>
    <xf numFmtId="0" fontId="103" fillId="69" borderId="0" xfId="0" applyFont="1" applyFill="1"/>
    <xf numFmtId="0" fontId="2" fillId="0" borderId="0" xfId="1390" applyFont="1" applyFill="1" applyAlignment="1">
      <alignment vertical="center"/>
    </xf>
    <xf numFmtId="0" fontId="83" fillId="0" borderId="0" xfId="1495" applyFill="1"/>
    <xf numFmtId="10" fontId="2" fillId="0" borderId="0" xfId="1390" applyNumberFormat="1" applyFont="1" applyFill="1" applyAlignment="1">
      <alignment horizontal="left" vertical="center"/>
    </xf>
    <xf numFmtId="0" fontId="0" fillId="0" borderId="0" xfId="0" applyFill="1"/>
    <xf numFmtId="0" fontId="120" fillId="0" borderId="0" xfId="1523" applyFont="1" applyFill="1" applyBorder="1" applyAlignment="1">
      <alignment horizontal="center" wrapText="1"/>
    </xf>
    <xf numFmtId="42" fontId="0" fillId="0" borderId="0" xfId="0" applyNumberFormat="1"/>
    <xf numFmtId="42" fontId="113" fillId="0" borderId="0" xfId="1378" applyNumberFormat="1" applyFont="1" applyFill="1" applyBorder="1" applyAlignment="1">
      <alignment horizontal="center"/>
    </xf>
    <xf numFmtId="0" fontId="121" fillId="0" borderId="0" xfId="0" applyFont="1" applyBorder="1"/>
    <xf numFmtId="0" fontId="122" fillId="0" borderId="0" xfId="0" applyFont="1"/>
    <xf numFmtId="0" fontId="123" fillId="0" borderId="0" xfId="0" applyFont="1"/>
    <xf numFmtId="42" fontId="113" fillId="64" borderId="0" xfId="276" applyNumberFormat="1" applyFont="1" applyFill="1" applyBorder="1" applyAlignment="1">
      <alignment horizontal="right"/>
    </xf>
    <xf numFmtId="42" fontId="113" fillId="64" borderId="0" xfId="276" applyNumberFormat="1" applyFont="1" applyFill="1" applyBorder="1"/>
    <xf numFmtId="176" fontId="113" fillId="64" borderId="0" xfId="553" applyNumberFormat="1" applyFont="1" applyFill="1" applyBorder="1" applyAlignment="1">
      <alignment horizontal="right"/>
    </xf>
    <xf numFmtId="176" fontId="103" fillId="0" borderId="2" xfId="0" applyNumberFormat="1" applyFont="1" applyBorder="1"/>
    <xf numFmtId="167" fontId="103" fillId="0" borderId="0" xfId="276" applyNumberFormat="1" applyFont="1" applyBorder="1"/>
    <xf numFmtId="174" fontId="103" fillId="0" borderId="0" xfId="1689" quotePrefix="1" applyNumberFormat="1" applyFont="1" applyAlignment="1">
      <alignment horizontal="center"/>
    </xf>
    <xf numFmtId="0" fontId="109" fillId="0" borderId="1" xfId="0" applyFont="1" applyBorder="1"/>
    <xf numFmtId="167" fontId="109" fillId="0" borderId="0" xfId="276" applyNumberFormat="1" applyFont="1" applyBorder="1"/>
    <xf numFmtId="167" fontId="109" fillId="0" borderId="10" xfId="276" applyNumberFormat="1" applyFont="1" applyFill="1" applyBorder="1"/>
    <xf numFmtId="39" fontId="109" fillId="0" borderId="0" xfId="0" applyNumberFormat="1" applyFont="1" applyBorder="1"/>
    <xf numFmtId="0" fontId="0" fillId="0" borderId="0" xfId="0"/>
    <xf numFmtId="0" fontId="0" fillId="0" borderId="0" xfId="0" applyBorder="1"/>
    <xf numFmtId="176" fontId="103" fillId="0" borderId="0" xfId="0" applyNumberFormat="1" applyFont="1" applyFill="1" applyBorder="1"/>
    <xf numFmtId="0" fontId="103" fillId="0" borderId="0" xfId="0" applyFont="1" applyFill="1" applyBorder="1" applyAlignment="1">
      <alignment horizontal="left"/>
    </xf>
    <xf numFmtId="176" fontId="103" fillId="0" borderId="0" xfId="553" applyNumberFormat="1" applyFont="1" applyFill="1"/>
    <xf numFmtId="0" fontId="103" fillId="0" borderId="0" xfId="0" applyFont="1" applyFill="1" applyAlignment="1">
      <alignment horizontal="left"/>
    </xf>
    <xf numFmtId="0" fontId="116" fillId="0" borderId="0" xfId="0" applyFont="1" applyFill="1"/>
    <xf numFmtId="0" fontId="103" fillId="0" borderId="0" xfId="0" applyFont="1" applyFill="1"/>
    <xf numFmtId="176" fontId="103" fillId="0" borderId="0" xfId="0" applyNumberFormat="1" applyFont="1" applyBorder="1"/>
    <xf numFmtId="176" fontId="103" fillId="0" borderId="0" xfId="553" applyNumberFormat="1" applyFont="1" applyBorder="1"/>
    <xf numFmtId="0" fontId="103" fillId="0" borderId="0" xfId="0" applyFont="1" applyFill="1" applyBorder="1"/>
    <xf numFmtId="0" fontId="103" fillId="0" borderId="0" xfId="0" applyFont="1" applyBorder="1"/>
    <xf numFmtId="0" fontId="103" fillId="0" borderId="0" xfId="0" applyFont="1"/>
    <xf numFmtId="167" fontId="103" fillId="0" borderId="0" xfId="276" applyNumberFormat="1" applyFont="1"/>
    <xf numFmtId="0" fontId="103" fillId="0" borderId="0" xfId="0" applyFont="1" applyAlignment="1">
      <alignment horizontal="center"/>
    </xf>
    <xf numFmtId="167" fontId="103" fillId="0" borderId="0" xfId="276" applyNumberFormat="1" applyFont="1" applyFill="1" applyBorder="1"/>
    <xf numFmtId="167" fontId="109" fillId="0" borderId="0" xfId="276" applyNumberFormat="1" applyFont="1"/>
    <xf numFmtId="167" fontId="103" fillId="0" borderId="0" xfId="276" applyNumberFormat="1" applyFont="1" applyFill="1"/>
    <xf numFmtId="167" fontId="103" fillId="0" borderId="0" xfId="276" applyNumberFormat="1" applyFont="1" applyBorder="1"/>
    <xf numFmtId="167" fontId="103" fillId="0" borderId="0" xfId="0" applyNumberFormat="1" applyFont="1"/>
    <xf numFmtId="167" fontId="75" fillId="0" borderId="0" xfId="276" applyNumberFormat="1" applyFont="1"/>
    <xf numFmtId="167" fontId="0" fillId="0" borderId="0" xfId="0" applyNumberFormat="1"/>
    <xf numFmtId="166" fontId="86" fillId="0" borderId="1" xfId="1689" applyNumberFormat="1" applyFont="1" applyFill="1" applyBorder="1"/>
    <xf numFmtId="167" fontId="86" fillId="0" borderId="1" xfId="276" applyNumberFormat="1" applyFont="1" applyFill="1" applyBorder="1"/>
    <xf numFmtId="0" fontId="0" fillId="0" borderId="0" xfId="0"/>
    <xf numFmtId="0" fontId="4" fillId="0" borderId="1" xfId="1378" applyFont="1" applyFill="1" applyBorder="1" applyAlignment="1">
      <alignment horizontal="center" wrapText="1"/>
    </xf>
    <xf numFmtId="0" fontId="109" fillId="0" borderId="0" xfId="0" applyFont="1" applyFill="1"/>
    <xf numFmtId="42" fontId="103" fillId="0" borderId="0" xfId="0" applyNumberFormat="1" applyFont="1"/>
    <xf numFmtId="167" fontId="103" fillId="0" borderId="1" xfId="0" applyNumberFormat="1" applyFont="1" applyBorder="1"/>
    <xf numFmtId="167" fontId="103" fillId="0" borderId="0" xfId="0" applyNumberFormat="1" applyFont="1" applyBorder="1"/>
    <xf numFmtId="0" fontId="116" fillId="0" borderId="0" xfId="0" applyFont="1" applyBorder="1" applyAlignment="1">
      <alignment horizontal="right"/>
    </xf>
    <xf numFmtId="3" fontId="103" fillId="0" borderId="0" xfId="0" applyNumberFormat="1" applyFont="1" applyBorder="1"/>
    <xf numFmtId="37" fontId="86" fillId="0" borderId="1" xfId="335" applyNumberFormat="1" applyFont="1" applyFill="1" applyBorder="1"/>
    <xf numFmtId="176" fontId="86" fillId="0" borderId="0" xfId="567" applyNumberFormat="1" applyFont="1" applyFill="1" applyBorder="1"/>
    <xf numFmtId="0" fontId="0" fillId="0" borderId="0" xfId="0"/>
    <xf numFmtId="0" fontId="109" fillId="0" borderId="0" xfId="0" applyFont="1"/>
    <xf numFmtId="0" fontId="0" fillId="0" borderId="0" xfId="0" applyBorder="1"/>
    <xf numFmtId="1" fontId="86" fillId="0" borderId="0" xfId="1378" applyNumberFormat="1" applyFont="1" applyFill="1" applyBorder="1" applyAlignment="1">
      <alignment horizontal="center"/>
    </xf>
    <xf numFmtId="164" fontId="86" fillId="0" borderId="0" xfId="1378" applyNumberFormat="1" applyFont="1" applyFill="1" applyBorder="1"/>
    <xf numFmtId="1" fontId="86" fillId="64" borderId="0" xfId="1378" applyNumberFormat="1" applyFont="1" applyFill="1" applyBorder="1" applyAlignment="1">
      <alignment horizontal="center"/>
    </xf>
    <xf numFmtId="164" fontId="86" fillId="65" borderId="0" xfId="1378" applyNumberFormat="1" applyFont="1" applyFill="1" applyBorder="1"/>
    <xf numFmtId="0" fontId="108" fillId="0" borderId="0" xfId="1523" quotePrefix="1" applyNumberFormat="1" applyFont="1" applyFill="1" applyBorder="1" applyAlignment="1">
      <alignment horizontal="center"/>
    </xf>
    <xf numFmtId="167" fontId="86" fillId="0" borderId="0" xfId="276" applyNumberFormat="1" applyFont="1" applyFill="1" applyBorder="1"/>
    <xf numFmtId="167" fontId="86" fillId="65" borderId="0" xfId="276" applyNumberFormat="1" applyFont="1" applyFill="1" applyBorder="1"/>
    <xf numFmtId="166" fontId="86" fillId="0" borderId="0" xfId="1689" applyNumberFormat="1" applyFont="1" applyFill="1" applyBorder="1"/>
    <xf numFmtId="166" fontId="86" fillId="65" borderId="0" xfId="1689" applyNumberFormat="1" applyFont="1" applyFill="1" applyBorder="1"/>
    <xf numFmtId="0" fontId="108" fillId="0" borderId="0" xfId="0" applyFont="1" applyFill="1" applyBorder="1" applyAlignment="1">
      <alignment horizontal="center"/>
    </xf>
    <xf numFmtId="0" fontId="108" fillId="0" borderId="0" xfId="0" quotePrefix="1" applyFont="1" applyFill="1" applyBorder="1" applyAlignment="1">
      <alignment horizontal="center"/>
    </xf>
    <xf numFmtId="164" fontId="103" fillId="0" borderId="0" xfId="0" applyNumberFormat="1" applyFont="1" applyFill="1" applyBorder="1"/>
    <xf numFmtId="0" fontId="103" fillId="0" borderId="0" xfId="0" applyFont="1" applyFill="1" applyBorder="1"/>
    <xf numFmtId="167" fontId="103" fillId="0" borderId="0" xfId="0" applyNumberFormat="1" applyFont="1" applyFill="1" applyBorder="1"/>
    <xf numFmtId="166" fontId="103" fillId="0" borderId="0" xfId="1689" applyNumberFormat="1" applyFont="1" applyFill="1" applyBorder="1"/>
    <xf numFmtId="0" fontId="108" fillId="0" borderId="0" xfId="0" applyFont="1" applyFill="1" applyBorder="1"/>
    <xf numFmtId="166" fontId="103" fillId="0" borderId="2" xfId="1689" applyNumberFormat="1" applyFont="1" applyFill="1" applyBorder="1"/>
    <xf numFmtId="169" fontId="86" fillId="64" borderId="0" xfId="1523" applyNumberFormat="1" applyFont="1" applyFill="1" applyBorder="1" applyAlignment="1">
      <alignment horizontal="center"/>
    </xf>
    <xf numFmtId="164" fontId="86" fillId="64" borderId="0" xfId="1523" applyNumberFormat="1" applyFont="1" applyFill="1" applyBorder="1" applyAlignment="1"/>
    <xf numFmtId="169" fontId="86" fillId="0" borderId="0" xfId="1523" applyNumberFormat="1" applyFont="1" applyFill="1" applyBorder="1" applyAlignment="1">
      <alignment horizontal="center"/>
    </xf>
    <xf numFmtId="164" fontId="86" fillId="0" borderId="0" xfId="1523" applyNumberFormat="1" applyFont="1" applyFill="1" applyBorder="1" applyAlignment="1"/>
    <xf numFmtId="37" fontId="86" fillId="0" borderId="0" xfId="335" applyNumberFormat="1" applyFont="1" applyFill="1" applyBorder="1"/>
    <xf numFmtId="37" fontId="86" fillId="64" borderId="0" xfId="335" applyNumberFormat="1" applyFont="1" applyFill="1" applyBorder="1"/>
    <xf numFmtId="0" fontId="103" fillId="0" borderId="0" xfId="0" applyFont="1" applyBorder="1"/>
    <xf numFmtId="0" fontId="103" fillId="0" borderId="0" xfId="0" applyFont="1"/>
    <xf numFmtId="0" fontId="108" fillId="0" borderId="0" xfId="1523" quotePrefix="1" applyFont="1" applyFill="1" applyBorder="1" applyAlignment="1">
      <alignment horizontal="center"/>
    </xf>
    <xf numFmtId="0" fontId="108" fillId="0" borderId="5" xfId="1523" applyFont="1" applyFill="1" applyBorder="1" applyAlignment="1">
      <alignment horizontal="center" wrapText="1"/>
    </xf>
    <xf numFmtId="167" fontId="2" fillId="65" borderId="0" xfId="276" applyNumberFormat="1" applyFont="1" applyFill="1" applyBorder="1"/>
    <xf numFmtId="167" fontId="75" fillId="0" borderId="0" xfId="276" applyNumberFormat="1" applyFont="1" applyBorder="1"/>
    <xf numFmtId="169" fontId="0" fillId="0" borderId="0" xfId="0" applyNumberFormat="1" applyBorder="1"/>
    <xf numFmtId="176" fontId="86" fillId="0" borderId="2" xfId="567" applyNumberFormat="1" applyFont="1" applyFill="1" applyBorder="1"/>
    <xf numFmtId="164" fontId="86" fillId="64" borderId="0" xfId="1378" applyNumberFormat="1" applyFont="1" applyFill="1" applyBorder="1"/>
    <xf numFmtId="42" fontId="86" fillId="64" borderId="0" xfId="276" applyNumberFormat="1" applyFont="1" applyFill="1" applyBorder="1"/>
    <xf numFmtId="166" fontId="86" fillId="64" borderId="0" xfId="1689" applyNumberFormat="1" applyFont="1" applyFill="1" applyBorder="1"/>
    <xf numFmtId="0" fontId="108" fillId="0" borderId="1" xfId="0" applyFont="1" applyFill="1" applyBorder="1" applyAlignment="1">
      <alignment horizontal="center" wrapText="1"/>
    </xf>
    <xf numFmtId="0" fontId="108" fillId="0" borderId="1" xfId="0" applyFont="1" applyFill="1" applyBorder="1" applyAlignment="1">
      <alignment horizontal="center"/>
    </xf>
    <xf numFmtId="1" fontId="113" fillId="0" borderId="0" xfId="1378" applyNumberFormat="1" applyFont="1" applyFill="1" applyBorder="1" applyAlignment="1">
      <alignment horizontal="center"/>
    </xf>
    <xf numFmtId="164" fontId="113" fillId="0" borderId="0" xfId="1378" applyNumberFormat="1" applyFont="1" applyFill="1" applyBorder="1"/>
    <xf numFmtId="167" fontId="103" fillId="0" borderId="0" xfId="276" applyNumberFormat="1" applyFont="1"/>
    <xf numFmtId="176" fontId="103" fillId="0" borderId="0" xfId="553" applyNumberFormat="1" applyFont="1"/>
    <xf numFmtId="176" fontId="103" fillId="0" borderId="0" xfId="0" applyNumberFormat="1" applyFont="1"/>
    <xf numFmtId="0" fontId="103" fillId="0" borderId="0" xfId="0" applyFont="1" applyAlignment="1">
      <alignment horizontal="center"/>
    </xf>
    <xf numFmtId="0" fontId="103" fillId="0" borderId="0" xfId="0" applyFont="1" applyBorder="1" applyAlignment="1">
      <alignment horizontal="center"/>
    </xf>
    <xf numFmtId="0" fontId="103" fillId="0" borderId="0" xfId="553" applyNumberFormat="1" applyFont="1" applyBorder="1" applyAlignment="1">
      <alignment horizontal="center"/>
    </xf>
    <xf numFmtId="0" fontId="116" fillId="0" borderId="0" xfId="0" applyFont="1"/>
    <xf numFmtId="0" fontId="116" fillId="0" borderId="0" xfId="0" applyFont="1" applyAlignment="1">
      <alignment horizontal="center"/>
    </xf>
    <xf numFmtId="0" fontId="116" fillId="0" borderId="0" xfId="0" applyNumberFormat="1" applyFont="1" applyAlignment="1">
      <alignment horizontal="center"/>
    </xf>
    <xf numFmtId="0" fontId="116" fillId="0" borderId="0" xfId="0" applyFont="1" applyBorder="1" applyAlignment="1">
      <alignment horizontal="center"/>
    </xf>
    <xf numFmtId="0" fontId="116" fillId="0" borderId="1" xfId="0" applyFont="1" applyBorder="1"/>
    <xf numFmtId="0" fontId="116" fillId="0" borderId="0" xfId="0" applyFont="1" applyBorder="1"/>
    <xf numFmtId="0" fontId="116" fillId="0" borderId="1" xfId="0" applyFont="1" applyBorder="1" applyAlignment="1">
      <alignment horizontal="center"/>
    </xf>
    <xf numFmtId="0" fontId="116" fillId="0" borderId="1" xfId="553" applyNumberFormat="1" applyFont="1" applyBorder="1" applyAlignment="1">
      <alignment horizontal="center"/>
    </xf>
    <xf numFmtId="167" fontId="103" fillId="0" borderId="1" xfId="276" applyNumberFormat="1" applyFont="1" applyBorder="1"/>
    <xf numFmtId="0" fontId="103" fillId="0" borderId="0" xfId="0" applyFont="1" applyBorder="1" applyAlignment="1">
      <alignment horizontal="left"/>
    </xf>
    <xf numFmtId="176" fontId="86" fillId="64" borderId="0" xfId="553" applyNumberFormat="1" applyFont="1" applyFill="1" applyBorder="1"/>
    <xf numFmtId="176" fontId="86" fillId="65" borderId="0" xfId="553" applyNumberFormat="1" applyFont="1" applyFill="1" applyBorder="1"/>
    <xf numFmtId="176" fontId="103" fillId="0" borderId="2" xfId="553" applyNumberFormat="1" applyFont="1" applyFill="1" applyBorder="1"/>
    <xf numFmtId="10" fontId="103" fillId="0" borderId="1" xfId="1490" quotePrefix="1" applyNumberFormat="1" applyFont="1" applyBorder="1" applyAlignment="1">
      <alignment horizontal="center"/>
    </xf>
    <xf numFmtId="197" fontId="103" fillId="0" borderId="0" xfId="1523" applyNumberFormat="1" applyFill="1" applyBorder="1"/>
    <xf numFmtId="166" fontId="81" fillId="0" borderId="0" xfId="1689" applyNumberFormat="1" applyFont="1" applyFill="1" applyBorder="1"/>
    <xf numFmtId="167" fontId="103" fillId="0" borderId="0" xfId="276" applyNumberFormat="1" applyFont="1" applyFill="1" applyBorder="1"/>
    <xf numFmtId="0" fontId="117" fillId="0" borderId="0" xfId="0" applyFont="1"/>
    <xf numFmtId="167" fontId="109" fillId="0" borderId="0" xfId="276" applyNumberFormat="1" applyFont="1"/>
    <xf numFmtId="167" fontId="109" fillId="0" borderId="0" xfId="0" applyNumberFormat="1" applyFont="1"/>
    <xf numFmtId="167" fontId="0" fillId="0" borderId="0" xfId="0" applyNumberFormat="1" applyBorder="1"/>
    <xf numFmtId="176" fontId="103" fillId="0" borderId="2" xfId="0" applyNumberFormat="1" applyFont="1" applyBorder="1"/>
    <xf numFmtId="167" fontId="103" fillId="0" borderId="0" xfId="276" applyNumberFormat="1" applyFont="1" applyBorder="1"/>
    <xf numFmtId="0" fontId="103" fillId="0" borderId="1" xfId="1490" quotePrefix="1" applyFont="1" applyBorder="1" applyAlignment="1">
      <alignment horizontal="center"/>
    </xf>
    <xf numFmtId="167" fontId="103" fillId="0" borderId="0" xfId="0" applyNumberFormat="1" applyFont="1"/>
    <xf numFmtId="0" fontId="118" fillId="0" borderId="0" xfId="0" applyFont="1" applyAlignment="1">
      <alignment horizontal="center"/>
    </xf>
    <xf numFmtId="0" fontId="117" fillId="0" borderId="0" xfId="0" applyFont="1" applyAlignment="1">
      <alignment horizontal="center"/>
    </xf>
    <xf numFmtId="42" fontId="103" fillId="0" borderId="0" xfId="276" applyNumberFormat="1" applyFont="1"/>
    <xf numFmtId="41" fontId="103" fillId="0" borderId="1" xfId="276" applyNumberFormat="1" applyFont="1" applyBorder="1"/>
    <xf numFmtId="41" fontId="103" fillId="0" borderId="0" xfId="276" applyNumberFormat="1" applyFont="1"/>
    <xf numFmtId="41" fontId="103" fillId="0" borderId="0" xfId="276" applyNumberFormat="1" applyFont="1" applyBorder="1"/>
    <xf numFmtId="42" fontId="103" fillId="0" borderId="0" xfId="553" applyNumberFormat="1" applyFont="1"/>
    <xf numFmtId="42" fontId="103" fillId="0" borderId="0" xfId="276" applyNumberFormat="1" applyFont="1" applyBorder="1"/>
    <xf numFmtId="42" fontId="103" fillId="0" borderId="0" xfId="553" applyNumberFormat="1" applyFont="1" applyBorder="1"/>
    <xf numFmtId="41" fontId="113" fillId="64" borderId="0" xfId="276" applyNumberFormat="1" applyFont="1" applyFill="1" applyBorder="1" applyAlignment="1">
      <alignment horizontal="right"/>
    </xf>
    <xf numFmtId="41" fontId="113" fillId="0" borderId="0" xfId="276" applyNumberFormat="1" applyFont="1" applyFill="1" applyBorder="1" applyAlignment="1">
      <alignment horizontal="right"/>
    </xf>
    <xf numFmtId="176" fontId="103" fillId="0" borderId="2" xfId="563" applyNumberFormat="1" applyFont="1" applyBorder="1"/>
    <xf numFmtId="167" fontId="103" fillId="0" borderId="0" xfId="378" applyNumberFormat="1" applyFont="1" applyBorder="1"/>
    <xf numFmtId="167" fontId="103" fillId="0" borderId="1" xfId="378" applyNumberFormat="1" applyFont="1" applyBorder="1"/>
    <xf numFmtId="0" fontId="118" fillId="0" borderId="0" xfId="0" applyFont="1" applyAlignment="1">
      <alignment horizontal="center"/>
    </xf>
    <xf numFmtId="167" fontId="103" fillId="66" borderId="0" xfId="276" applyNumberFormat="1" applyFont="1" applyFill="1"/>
    <xf numFmtId="167" fontId="113" fillId="0" borderId="1" xfId="276" applyNumberFormat="1" applyFont="1" applyFill="1" applyBorder="1" applyAlignment="1">
      <alignment horizontal="right"/>
    </xf>
    <xf numFmtId="176" fontId="103" fillId="0" borderId="0" xfId="553" applyNumberFormat="1" applyFont="1" applyFill="1" applyBorder="1"/>
    <xf numFmtId="41" fontId="2" fillId="0" borderId="1" xfId="276" applyNumberFormat="1" applyFont="1" applyFill="1" applyBorder="1"/>
    <xf numFmtId="0" fontId="109" fillId="0" borderId="1" xfId="0" applyFont="1" applyFill="1" applyBorder="1"/>
    <xf numFmtId="41" fontId="113" fillId="0" borderId="1" xfId="276" applyNumberFormat="1" applyFont="1" applyFill="1" applyBorder="1" applyAlignment="1">
      <alignment horizontal="right"/>
    </xf>
    <xf numFmtId="0" fontId="0" fillId="0" borderId="0" xfId="0" applyFill="1" applyBorder="1"/>
    <xf numFmtId="0" fontId="116" fillId="0" borderId="0" xfId="0" applyFont="1" applyFill="1" applyBorder="1" applyAlignment="1">
      <alignment horizontal="center"/>
    </xf>
    <xf numFmtId="176" fontId="0" fillId="0" borderId="0" xfId="0" applyNumberFormat="1" applyFill="1"/>
    <xf numFmtId="167" fontId="113" fillId="0" borderId="1" xfId="276" applyNumberFormat="1" applyFont="1" applyFill="1" applyBorder="1"/>
    <xf numFmtId="0" fontId="0" fillId="0" borderId="0" xfId="0" applyAlignment="1">
      <alignment shrinkToFit="1"/>
    </xf>
    <xf numFmtId="167" fontId="2" fillId="0" borderId="1" xfId="276" applyNumberFormat="1" applyFont="1" applyFill="1" applyBorder="1"/>
    <xf numFmtId="167" fontId="103" fillId="0" borderId="1" xfId="276" applyNumberFormat="1" applyFont="1" applyFill="1" applyBorder="1"/>
    <xf numFmtId="0" fontId="103" fillId="0" borderId="0" xfId="0" applyFont="1" applyFill="1" applyAlignment="1">
      <alignment horizontal="center"/>
    </xf>
    <xf numFmtId="41" fontId="103" fillId="0" borderId="0" xfId="276" applyNumberFormat="1" applyFont="1" applyFill="1" applyBorder="1"/>
    <xf numFmtId="41" fontId="103" fillId="0" borderId="0" xfId="0" applyNumberFormat="1" applyFont="1"/>
    <xf numFmtId="41" fontId="103" fillId="0" borderId="0" xfId="0" applyNumberFormat="1" applyFont="1" applyBorder="1"/>
    <xf numFmtId="41" fontId="103" fillId="0" borderId="0" xfId="0" applyNumberFormat="1" applyFont="1" applyFill="1" applyBorder="1"/>
    <xf numFmtId="42" fontId="86" fillId="0" borderId="0" xfId="276" applyNumberFormat="1" applyFont="1" applyFill="1" applyBorder="1"/>
    <xf numFmtId="41" fontId="86" fillId="64" borderId="0" xfId="553" applyNumberFormat="1" applyFont="1" applyFill="1" applyBorder="1"/>
    <xf numFmtId="42" fontId="86" fillId="65" borderId="0" xfId="276" applyNumberFormat="1" applyFont="1" applyFill="1" applyBorder="1"/>
    <xf numFmtId="2" fontId="103" fillId="0" borderId="0" xfId="0" quotePrefix="1" applyNumberFormat="1" applyFont="1" applyAlignment="1">
      <alignment horizontal="center"/>
    </xf>
    <xf numFmtId="0" fontId="127" fillId="0" borderId="0" xfId="0" applyFont="1" applyBorder="1" applyAlignment="1" applyProtection="1"/>
    <xf numFmtId="0" fontId="127" fillId="0" borderId="0" xfId="0" applyFont="1" applyAlignment="1" applyProtection="1"/>
    <xf numFmtId="0" fontId="0" fillId="0" borderId="0" xfId="0"/>
    <xf numFmtId="167" fontId="126" fillId="0" borderId="0" xfId="276" applyNumberFormat="1" applyFont="1" applyFill="1" applyBorder="1" applyProtection="1">
      <protection locked="0"/>
    </xf>
    <xf numFmtId="167" fontId="126" fillId="71" borderId="31" xfId="276" applyNumberFormat="1" applyFont="1" applyFill="1" applyBorder="1" applyProtection="1">
      <protection locked="0"/>
    </xf>
    <xf numFmtId="0" fontId="126" fillId="71" borderId="31" xfId="0" applyFont="1" applyFill="1" applyBorder="1" applyAlignment="1" applyProtection="1">
      <alignment horizontal="center"/>
      <protection locked="0"/>
    </xf>
    <xf numFmtId="42" fontId="126" fillId="0" borderId="10" xfId="0" applyNumberFormat="1" applyFont="1" applyBorder="1" applyProtection="1"/>
    <xf numFmtId="10" fontId="126" fillId="0" borderId="0" xfId="1689" applyNumberFormat="1" applyFont="1" applyProtection="1"/>
    <xf numFmtId="10" fontId="126" fillId="0" borderId="0" xfId="0" applyNumberFormat="1" applyFont="1" applyProtection="1"/>
    <xf numFmtId="0" fontId="126" fillId="0" borderId="0" xfId="0" applyFont="1" applyProtection="1"/>
    <xf numFmtId="0" fontId="126" fillId="0" borderId="0" xfId="0" applyFont="1" applyBorder="1" applyProtection="1"/>
    <xf numFmtId="0" fontId="126" fillId="0" borderId="0" xfId="0" applyFont="1" applyBorder="1" applyAlignment="1" applyProtection="1">
      <alignment horizontal="center"/>
    </xf>
    <xf numFmtId="0" fontId="128" fillId="0" borderId="0" xfId="0" applyFont="1" applyProtection="1"/>
    <xf numFmtId="167" fontId="126" fillId="0" borderId="0" xfId="276" applyNumberFormat="1" applyFont="1" applyBorder="1" applyProtection="1"/>
    <xf numFmtId="0" fontId="127" fillId="0" borderId="0" xfId="0" applyFont="1" applyProtection="1"/>
    <xf numFmtId="167" fontId="127" fillId="0" borderId="0" xfId="276" applyNumberFormat="1" applyFont="1" applyBorder="1" applyAlignment="1" applyProtection="1">
      <alignment horizontal="center"/>
    </xf>
    <xf numFmtId="166" fontId="126" fillId="0" borderId="30" xfId="1689" applyNumberFormat="1" applyFont="1" applyBorder="1" applyProtection="1"/>
    <xf numFmtId="167" fontId="126" fillId="0" borderId="30" xfId="276" applyNumberFormat="1" applyFont="1" applyBorder="1" applyProtection="1"/>
    <xf numFmtId="167" fontId="126" fillId="0" borderId="0" xfId="0" applyNumberFormat="1" applyFont="1" applyProtection="1"/>
    <xf numFmtId="0" fontId="128" fillId="0" borderId="0" xfId="0" applyFont="1" applyAlignment="1" applyProtection="1">
      <alignment horizontal="left" indent="1"/>
    </xf>
    <xf numFmtId="0" fontId="129" fillId="0" borderId="0" xfId="1523" applyFont="1" applyFill="1" applyBorder="1" applyAlignment="1" applyProtection="1">
      <alignment horizontal="center"/>
    </xf>
    <xf numFmtId="0" fontId="130" fillId="0" borderId="0" xfId="1523" applyFont="1" applyFill="1" applyBorder="1" applyAlignment="1" applyProtection="1">
      <alignment horizontal="right"/>
    </xf>
    <xf numFmtId="167" fontId="126" fillId="0" borderId="0" xfId="276" applyNumberFormat="1" applyFont="1" applyProtection="1"/>
    <xf numFmtId="0" fontId="131" fillId="0" borderId="0" xfId="0" applyFont="1" applyProtection="1"/>
    <xf numFmtId="0" fontId="131" fillId="0" borderId="0" xfId="0" applyFont="1" applyAlignment="1" applyProtection="1">
      <alignment horizontal="center"/>
    </xf>
    <xf numFmtId="0" fontId="126" fillId="0" borderId="0" xfId="0" applyFont="1" applyAlignment="1" applyProtection="1">
      <alignment horizontal="left" indent="1"/>
    </xf>
    <xf numFmtId="167" fontId="126" fillId="0" borderId="10" xfId="0" applyNumberFormat="1" applyFont="1" applyBorder="1" applyProtection="1"/>
    <xf numFmtId="0" fontId="125" fillId="0" borderId="0" xfId="1378" applyFont="1" applyFill="1" applyBorder="1" applyAlignment="1" applyProtection="1">
      <alignment horizontal="left"/>
    </xf>
    <xf numFmtId="0" fontId="125" fillId="0" borderId="0" xfId="1378" applyFont="1" applyFill="1" applyBorder="1" applyAlignment="1" applyProtection="1">
      <alignment horizontal="left" indent="1"/>
    </xf>
    <xf numFmtId="0" fontId="126" fillId="0" borderId="0" xfId="0" applyFont="1" applyAlignment="1" applyProtection="1">
      <alignment horizontal="center"/>
    </xf>
    <xf numFmtId="0" fontId="126" fillId="0" borderId="1" xfId="0" applyFont="1" applyBorder="1" applyAlignment="1" applyProtection="1">
      <alignment horizontal="center"/>
    </xf>
    <xf numFmtId="166" fontId="126" fillId="0" borderId="0" xfId="0" applyNumberFormat="1" applyFont="1" applyProtection="1"/>
    <xf numFmtId="176" fontId="126" fillId="0" borderId="0" xfId="553" applyNumberFormat="1" applyFont="1" applyProtection="1"/>
    <xf numFmtId="43" fontId="0" fillId="0" borderId="0" xfId="0" applyNumberFormat="1"/>
    <xf numFmtId="43" fontId="126" fillId="0" borderId="0" xfId="276" applyFont="1" applyProtection="1"/>
    <xf numFmtId="0" fontId="0" fillId="0" borderId="0" xfId="0"/>
    <xf numFmtId="1" fontId="86" fillId="0" borderId="0" xfId="1378" applyNumberFormat="1" applyFont="1" applyFill="1" applyBorder="1" applyAlignment="1">
      <alignment horizontal="center"/>
    </xf>
    <xf numFmtId="164" fontId="86" fillId="0" borderId="0" xfId="1378" applyNumberFormat="1" applyFont="1" applyFill="1" applyBorder="1"/>
    <xf numFmtId="0" fontId="3" fillId="0" borderId="0" xfId="1378" applyFont="1" applyFill="1" applyBorder="1"/>
    <xf numFmtId="0" fontId="3" fillId="0" borderId="0" xfId="1378" applyFont="1" applyFill="1" applyBorder="1" applyAlignment="1">
      <alignment horizontal="center"/>
    </xf>
    <xf numFmtId="0" fontId="4" fillId="0" borderId="0" xfId="1378" applyFont="1" applyFill="1" applyBorder="1" applyAlignment="1">
      <alignment horizontal="center" wrapText="1"/>
    </xf>
    <xf numFmtId="0" fontId="112" fillId="0" borderId="29" xfId="1378" applyFont="1" applyFill="1" applyBorder="1" applyAlignment="1">
      <alignment horizontal="center" wrapText="1"/>
    </xf>
    <xf numFmtId="168" fontId="112" fillId="0" borderId="29" xfId="1378" applyNumberFormat="1" applyFont="1" applyFill="1" applyBorder="1" applyAlignment="1">
      <alignment horizontal="center" wrapText="1"/>
    </xf>
    <xf numFmtId="1" fontId="113" fillId="64" borderId="0" xfId="1378" applyNumberFormat="1" applyFont="1" applyFill="1" applyBorder="1" applyAlignment="1">
      <alignment horizontal="center"/>
    </xf>
    <xf numFmtId="164" fontId="113" fillId="64" borderId="0" xfId="1378" applyNumberFormat="1" applyFont="1" applyFill="1" applyBorder="1"/>
    <xf numFmtId="1" fontId="113" fillId="0" borderId="0" xfId="1378" applyNumberFormat="1" applyFont="1" applyFill="1" applyBorder="1" applyAlignment="1">
      <alignment horizontal="center"/>
    </xf>
    <xf numFmtId="164" fontId="113" fillId="0" borderId="0" xfId="1378" applyNumberFormat="1" applyFont="1" applyFill="1" applyBorder="1"/>
    <xf numFmtId="164" fontId="113" fillId="65" borderId="0" xfId="1378" applyNumberFormat="1" applyFont="1" applyFill="1" applyBorder="1"/>
    <xf numFmtId="164" fontId="114" fillId="0" borderId="0" xfId="1378" applyNumberFormat="1" applyFont="1" applyFill="1" applyBorder="1"/>
    <xf numFmtId="165" fontId="114" fillId="0" borderId="0" xfId="1378" applyNumberFormat="1" applyFont="1" applyFill="1" applyBorder="1"/>
    <xf numFmtId="0" fontId="115" fillId="0" borderId="0" xfId="1378" applyFont="1" applyFill="1" applyBorder="1"/>
    <xf numFmtId="167" fontId="113" fillId="64" borderId="0" xfId="276" applyNumberFormat="1" applyFont="1" applyFill="1" applyBorder="1" applyAlignment="1">
      <alignment horizontal="right"/>
    </xf>
    <xf numFmtId="167" fontId="113" fillId="64" borderId="0" xfId="276" applyNumberFormat="1" applyFont="1" applyFill="1" applyBorder="1"/>
    <xf numFmtId="42" fontId="113" fillId="0" borderId="2" xfId="1378" applyNumberFormat="1" applyFont="1" applyFill="1" applyBorder="1" applyAlignment="1">
      <alignment horizontal="center"/>
    </xf>
    <xf numFmtId="167" fontId="113" fillId="0" borderId="0" xfId="276" applyNumberFormat="1" applyFont="1" applyFill="1" applyBorder="1" applyAlignment="1">
      <alignment horizontal="right"/>
    </xf>
    <xf numFmtId="167" fontId="113" fillId="0" borderId="0" xfId="276" applyNumberFormat="1" applyFont="1" applyFill="1" applyBorder="1"/>
    <xf numFmtId="0" fontId="112" fillId="0" borderId="0" xfId="1378" applyFont="1" applyFill="1" applyBorder="1" applyAlignment="1">
      <alignment horizontal="center" wrapText="1"/>
    </xf>
    <xf numFmtId="168" fontId="112" fillId="0" borderId="0" xfId="1378" applyNumberFormat="1" applyFont="1" applyFill="1" applyBorder="1" applyAlignment="1">
      <alignment horizontal="center" wrapText="1"/>
    </xf>
    <xf numFmtId="1" fontId="113" fillId="67" borderId="0" xfId="1378" applyNumberFormat="1" applyFont="1" applyFill="1" applyBorder="1" applyAlignment="1">
      <alignment horizontal="center"/>
    </xf>
    <xf numFmtId="164" fontId="113" fillId="68" borderId="0" xfId="1378" applyNumberFormat="1" applyFont="1" applyFill="1" applyBorder="1"/>
    <xf numFmtId="167" fontId="113" fillId="67" borderId="0" xfId="276" applyNumberFormat="1" applyFont="1" applyFill="1" applyBorder="1" applyAlignment="1">
      <alignment horizontal="right"/>
    </xf>
    <xf numFmtId="167" fontId="113" fillId="67" borderId="0" xfId="276" applyNumberFormat="1" applyFont="1" applyFill="1" applyBorder="1"/>
    <xf numFmtId="42" fontId="113" fillId="0" borderId="0" xfId="1378" applyNumberFormat="1" applyFont="1" applyFill="1" applyBorder="1" applyAlignment="1">
      <alignment horizontal="center"/>
    </xf>
    <xf numFmtId="0" fontId="122" fillId="0" borderId="0" xfId="0" applyFont="1"/>
    <xf numFmtId="0" fontId="123" fillId="0" borderId="0" xfId="0" applyFont="1"/>
    <xf numFmtId="42" fontId="113" fillId="64" borderId="0" xfId="276" applyNumberFormat="1" applyFont="1" applyFill="1" applyBorder="1" applyAlignment="1">
      <alignment horizontal="right"/>
    </xf>
    <xf numFmtId="42" fontId="113" fillId="64" borderId="0" xfId="276" applyNumberFormat="1" applyFont="1" applyFill="1" applyBorder="1"/>
    <xf numFmtId="176" fontId="113" fillId="0" borderId="2" xfId="553" applyNumberFormat="1" applyFont="1" applyFill="1" applyBorder="1" applyAlignment="1">
      <alignment horizontal="center"/>
    </xf>
    <xf numFmtId="176" fontId="113" fillId="64" borderId="0" xfId="553" applyNumberFormat="1" applyFont="1" applyFill="1" applyBorder="1" applyAlignment="1">
      <alignment horizontal="right"/>
    </xf>
    <xf numFmtId="176" fontId="113" fillId="0" borderId="0" xfId="553" applyNumberFormat="1" applyFont="1" applyFill="1" applyBorder="1" applyAlignment="1">
      <alignment horizontal="right"/>
    </xf>
    <xf numFmtId="176" fontId="113" fillId="0" borderId="0" xfId="553" applyNumberFormat="1" applyFont="1" applyFill="1" applyBorder="1"/>
    <xf numFmtId="167" fontId="0" fillId="0" borderId="0" xfId="0" applyNumberFormat="1"/>
    <xf numFmtId="0" fontId="4" fillId="0" borderId="1" xfId="1378" applyFont="1" applyFill="1" applyBorder="1" applyAlignment="1">
      <alignment horizontal="center" wrapText="1"/>
    </xf>
    <xf numFmtId="1" fontId="113" fillId="70" borderId="0" xfId="1378" applyNumberFormat="1" applyFont="1" applyFill="1" applyBorder="1" applyAlignment="1">
      <alignment horizontal="center"/>
    </xf>
    <xf numFmtId="164" fontId="113" fillId="70" borderId="0" xfId="1378" applyNumberFormat="1" applyFont="1" applyFill="1" applyBorder="1"/>
    <xf numFmtId="167" fontId="113" fillId="70" borderId="1" xfId="276" applyNumberFormat="1" applyFont="1" applyFill="1" applyBorder="1" applyAlignment="1">
      <alignment horizontal="right"/>
    </xf>
    <xf numFmtId="167" fontId="113" fillId="70" borderId="1" xfId="276" applyNumberFormat="1" applyFont="1" applyFill="1" applyBorder="1"/>
    <xf numFmtId="41" fontId="113" fillId="64" borderId="0" xfId="276" applyNumberFormat="1" applyFont="1" applyFill="1" applyBorder="1" applyAlignment="1">
      <alignment horizontal="right"/>
    </xf>
    <xf numFmtId="41" fontId="113" fillId="0" borderId="0" xfId="276" applyNumberFormat="1" applyFont="1" applyFill="1" applyBorder="1" applyAlignment="1">
      <alignment horizontal="right"/>
    </xf>
    <xf numFmtId="41" fontId="113" fillId="70" borderId="1" xfId="276" applyNumberFormat="1" applyFont="1" applyFill="1" applyBorder="1" applyAlignment="1">
      <alignment horizontal="right"/>
    </xf>
    <xf numFmtId="41" fontId="113" fillId="67" borderId="0" xfId="276" applyNumberFormat="1" applyFont="1" applyFill="1" applyBorder="1" applyAlignment="1">
      <alignment horizontal="right"/>
    </xf>
    <xf numFmtId="0" fontId="0" fillId="0" borderId="0" xfId="0"/>
    <xf numFmtId="176" fontId="86" fillId="0" borderId="2" xfId="553" applyNumberFormat="1" applyFont="1" applyFill="1" applyBorder="1"/>
    <xf numFmtId="0" fontId="4" fillId="0" borderId="1" xfId="1378" applyFont="1" applyFill="1" applyBorder="1" applyAlignment="1">
      <alignment horizontal="center"/>
    </xf>
    <xf numFmtId="0" fontId="123" fillId="0" borderId="0" xfId="0" applyFont="1" applyAlignment="1">
      <alignment horizontal="center"/>
    </xf>
    <xf numFmtId="0" fontId="122" fillId="0" borderId="0" xfId="0" applyFont="1" applyAlignment="1">
      <alignment horizontal="center"/>
    </xf>
    <xf numFmtId="0" fontId="0" fillId="0" borderId="19" xfId="0" applyBorder="1"/>
    <xf numFmtId="0" fontId="108" fillId="0" borderId="0" xfId="1523" applyFont="1" applyFill="1" applyBorder="1" applyAlignment="1">
      <alignment horizontal="center"/>
    </xf>
    <xf numFmtId="0" fontId="122" fillId="0" borderId="0" xfId="0" quotePrefix="1" applyFont="1" applyAlignment="1">
      <alignment horizontal="center"/>
    </xf>
    <xf numFmtId="0" fontId="118" fillId="0" borderId="0" xfId="0" applyFont="1" applyAlignment="1">
      <alignment horizontal="center"/>
    </xf>
    <xf numFmtId="0" fontId="117" fillId="0" borderId="0" xfId="0" applyFont="1" applyAlignment="1">
      <alignment horizontal="center"/>
    </xf>
  </cellXfs>
  <cellStyles count="1934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2 4" xfId="5" xr:uid="{00000000-0005-0000-0000-000004000000}"/>
    <cellStyle name="20% - Accent1 2 5" xfId="6" xr:uid="{00000000-0005-0000-0000-000005000000}"/>
    <cellStyle name="20% - Accent1 2 6" xfId="7" xr:uid="{00000000-0005-0000-0000-000006000000}"/>
    <cellStyle name="20% - Accent1 2 7" xfId="8" xr:uid="{00000000-0005-0000-0000-000007000000}"/>
    <cellStyle name="20% - Accent1 2 8" xfId="9" xr:uid="{00000000-0005-0000-0000-000008000000}"/>
    <cellStyle name="20% - Accent1 3" xfId="10" xr:uid="{00000000-0005-0000-0000-000009000000}"/>
    <cellStyle name="20% - Accent1 4" xfId="11" xr:uid="{00000000-0005-0000-0000-00000A000000}"/>
    <cellStyle name="20% - Accent2" xfId="12" builtinId="34" customBuiltin="1"/>
    <cellStyle name="20% - Accent2 2" xfId="13" xr:uid="{00000000-0005-0000-0000-00000C000000}"/>
    <cellStyle name="20% - Accent2 2 2" xfId="14" xr:uid="{00000000-0005-0000-0000-00000D000000}"/>
    <cellStyle name="20% - Accent2 2 3" xfId="15" xr:uid="{00000000-0005-0000-0000-00000E000000}"/>
    <cellStyle name="20% - Accent2 2 4" xfId="16" xr:uid="{00000000-0005-0000-0000-00000F000000}"/>
    <cellStyle name="20% - Accent2 2 5" xfId="17" xr:uid="{00000000-0005-0000-0000-000010000000}"/>
    <cellStyle name="20% - Accent2 2 6" xfId="18" xr:uid="{00000000-0005-0000-0000-000011000000}"/>
    <cellStyle name="20% - Accent2 2 7" xfId="19" xr:uid="{00000000-0005-0000-0000-000012000000}"/>
    <cellStyle name="20% - Accent2 2 8" xfId="20" xr:uid="{00000000-0005-0000-0000-000013000000}"/>
    <cellStyle name="20% - Accent2 3" xfId="21" xr:uid="{00000000-0005-0000-0000-000014000000}"/>
    <cellStyle name="20% - Accent2 4" xfId="22" xr:uid="{00000000-0005-0000-0000-000015000000}"/>
    <cellStyle name="20% - Accent3" xfId="23" builtinId="38" customBuiltin="1"/>
    <cellStyle name="20% - Accent3 2" xfId="24" xr:uid="{00000000-0005-0000-0000-000017000000}"/>
    <cellStyle name="20% - Accent3 2 2" xfId="25" xr:uid="{00000000-0005-0000-0000-000018000000}"/>
    <cellStyle name="20% - Accent3 2 3" xfId="26" xr:uid="{00000000-0005-0000-0000-000019000000}"/>
    <cellStyle name="20% - Accent3 2 4" xfId="27" xr:uid="{00000000-0005-0000-0000-00001A000000}"/>
    <cellStyle name="20% - Accent3 2 5" xfId="28" xr:uid="{00000000-0005-0000-0000-00001B000000}"/>
    <cellStyle name="20% - Accent3 2 6" xfId="29" xr:uid="{00000000-0005-0000-0000-00001C000000}"/>
    <cellStyle name="20% - Accent3 2 7" xfId="30" xr:uid="{00000000-0005-0000-0000-00001D000000}"/>
    <cellStyle name="20% - Accent3 2 8" xfId="31" xr:uid="{00000000-0005-0000-0000-00001E000000}"/>
    <cellStyle name="20% - Accent3 3" xfId="32" xr:uid="{00000000-0005-0000-0000-00001F000000}"/>
    <cellStyle name="20% - Accent3 4" xfId="33" xr:uid="{00000000-0005-0000-0000-000020000000}"/>
    <cellStyle name="20% - Accent4" xfId="34" builtinId="42" customBuiltin="1"/>
    <cellStyle name="20% - Accent4 2" xfId="35" xr:uid="{00000000-0005-0000-0000-000022000000}"/>
    <cellStyle name="20% - Accent4 2 2" xfId="36" xr:uid="{00000000-0005-0000-0000-000023000000}"/>
    <cellStyle name="20% - Accent4 2 3" xfId="37" xr:uid="{00000000-0005-0000-0000-000024000000}"/>
    <cellStyle name="20% - Accent4 2 4" xfId="38" xr:uid="{00000000-0005-0000-0000-000025000000}"/>
    <cellStyle name="20% - Accent4 2 5" xfId="39" xr:uid="{00000000-0005-0000-0000-000026000000}"/>
    <cellStyle name="20% - Accent4 2 6" xfId="40" xr:uid="{00000000-0005-0000-0000-000027000000}"/>
    <cellStyle name="20% - Accent4 2 7" xfId="41" xr:uid="{00000000-0005-0000-0000-000028000000}"/>
    <cellStyle name="20% - Accent4 2 8" xfId="42" xr:uid="{00000000-0005-0000-0000-000029000000}"/>
    <cellStyle name="20% - Accent4 3" xfId="43" xr:uid="{00000000-0005-0000-0000-00002A000000}"/>
    <cellStyle name="20% - Accent4 4" xfId="44" xr:uid="{00000000-0005-0000-0000-00002B000000}"/>
    <cellStyle name="20% - Accent5" xfId="45" builtinId="46" customBuiltin="1"/>
    <cellStyle name="20% - Accent5 2" xfId="46" xr:uid="{00000000-0005-0000-0000-00002D000000}"/>
    <cellStyle name="20% - Accent5 2 2" xfId="47" xr:uid="{00000000-0005-0000-0000-00002E000000}"/>
    <cellStyle name="20% - Accent5 2 3" xfId="48" xr:uid="{00000000-0005-0000-0000-00002F000000}"/>
    <cellStyle name="20% - Accent5 2 4" xfId="49" xr:uid="{00000000-0005-0000-0000-000030000000}"/>
    <cellStyle name="20% - Accent5 2 5" xfId="50" xr:uid="{00000000-0005-0000-0000-000031000000}"/>
    <cellStyle name="20% - Accent5 3" xfId="51" xr:uid="{00000000-0005-0000-0000-000032000000}"/>
    <cellStyle name="20% - Accent5 4" xfId="52" xr:uid="{00000000-0005-0000-0000-000033000000}"/>
    <cellStyle name="20% - Accent6" xfId="53" builtinId="50" customBuiltin="1"/>
    <cellStyle name="20% - Accent6 2" xfId="54" xr:uid="{00000000-0005-0000-0000-000035000000}"/>
    <cellStyle name="20% - Accent6 2 2" xfId="55" xr:uid="{00000000-0005-0000-0000-000036000000}"/>
    <cellStyle name="20% - Accent6 2 3" xfId="56" xr:uid="{00000000-0005-0000-0000-000037000000}"/>
    <cellStyle name="20% - Accent6 2 4" xfId="57" xr:uid="{00000000-0005-0000-0000-000038000000}"/>
    <cellStyle name="20% - Accent6 2 5" xfId="58" xr:uid="{00000000-0005-0000-0000-000039000000}"/>
    <cellStyle name="20% - Accent6 2 6" xfId="59" xr:uid="{00000000-0005-0000-0000-00003A000000}"/>
    <cellStyle name="20% - Accent6 2 7" xfId="60" xr:uid="{00000000-0005-0000-0000-00003B000000}"/>
    <cellStyle name="20% - Accent6 2 8" xfId="61" xr:uid="{00000000-0005-0000-0000-00003C000000}"/>
    <cellStyle name="20% - Accent6 3" xfId="62" xr:uid="{00000000-0005-0000-0000-00003D000000}"/>
    <cellStyle name="20% - Accent6 4" xfId="63" xr:uid="{00000000-0005-0000-0000-00003E000000}"/>
    <cellStyle name="40% - Accent1" xfId="64" builtinId="31" customBuiltin="1"/>
    <cellStyle name="40% - Accent1 2" xfId="65" xr:uid="{00000000-0005-0000-0000-000040000000}"/>
    <cellStyle name="40% - Accent1 2 2" xfId="66" xr:uid="{00000000-0005-0000-0000-000041000000}"/>
    <cellStyle name="40% - Accent1 2 3" xfId="67" xr:uid="{00000000-0005-0000-0000-000042000000}"/>
    <cellStyle name="40% - Accent1 2 4" xfId="68" xr:uid="{00000000-0005-0000-0000-000043000000}"/>
    <cellStyle name="40% - Accent1 2 5" xfId="69" xr:uid="{00000000-0005-0000-0000-000044000000}"/>
    <cellStyle name="40% - Accent1 2 6" xfId="70" xr:uid="{00000000-0005-0000-0000-000045000000}"/>
    <cellStyle name="40% - Accent1 2 7" xfId="71" xr:uid="{00000000-0005-0000-0000-000046000000}"/>
    <cellStyle name="40% - Accent1 2 8" xfId="72" xr:uid="{00000000-0005-0000-0000-000047000000}"/>
    <cellStyle name="40% - Accent1 3" xfId="73" xr:uid="{00000000-0005-0000-0000-000048000000}"/>
    <cellStyle name="40% - Accent1 4" xfId="74" xr:uid="{00000000-0005-0000-0000-000049000000}"/>
    <cellStyle name="40% - Accent2" xfId="75" builtinId="35" customBuiltin="1"/>
    <cellStyle name="40% - Accent2 2" xfId="76" xr:uid="{00000000-0005-0000-0000-00004B000000}"/>
    <cellStyle name="40% - Accent2 2 2" xfId="77" xr:uid="{00000000-0005-0000-0000-00004C000000}"/>
    <cellStyle name="40% - Accent2 2 3" xfId="78" xr:uid="{00000000-0005-0000-0000-00004D000000}"/>
    <cellStyle name="40% - Accent2 2 4" xfId="79" xr:uid="{00000000-0005-0000-0000-00004E000000}"/>
    <cellStyle name="40% - Accent2 2 5" xfId="80" xr:uid="{00000000-0005-0000-0000-00004F000000}"/>
    <cellStyle name="40% - Accent2 3" xfId="81" xr:uid="{00000000-0005-0000-0000-000050000000}"/>
    <cellStyle name="40% - Accent2 4" xfId="82" xr:uid="{00000000-0005-0000-0000-000051000000}"/>
    <cellStyle name="40% - Accent3" xfId="83" builtinId="39" customBuiltin="1"/>
    <cellStyle name="40% - Accent3 2" xfId="84" xr:uid="{00000000-0005-0000-0000-000053000000}"/>
    <cellStyle name="40% - Accent3 2 2" xfId="85" xr:uid="{00000000-0005-0000-0000-000054000000}"/>
    <cellStyle name="40% - Accent3 2 3" xfId="86" xr:uid="{00000000-0005-0000-0000-000055000000}"/>
    <cellStyle name="40% - Accent3 2 4" xfId="87" xr:uid="{00000000-0005-0000-0000-000056000000}"/>
    <cellStyle name="40% - Accent3 2 5" xfId="88" xr:uid="{00000000-0005-0000-0000-000057000000}"/>
    <cellStyle name="40% - Accent3 2 6" xfId="89" xr:uid="{00000000-0005-0000-0000-000058000000}"/>
    <cellStyle name="40% - Accent3 2 7" xfId="90" xr:uid="{00000000-0005-0000-0000-000059000000}"/>
    <cellStyle name="40% - Accent3 2 8" xfId="91" xr:uid="{00000000-0005-0000-0000-00005A000000}"/>
    <cellStyle name="40% - Accent3 3" xfId="92" xr:uid="{00000000-0005-0000-0000-00005B000000}"/>
    <cellStyle name="40% - Accent3 4" xfId="93" xr:uid="{00000000-0005-0000-0000-00005C000000}"/>
    <cellStyle name="40% - Accent4" xfId="94" builtinId="43" customBuiltin="1"/>
    <cellStyle name="40% - Accent4 2" xfId="95" xr:uid="{00000000-0005-0000-0000-00005E000000}"/>
    <cellStyle name="40% - Accent4 2 2" xfId="96" xr:uid="{00000000-0005-0000-0000-00005F000000}"/>
    <cellStyle name="40% - Accent4 2 3" xfId="97" xr:uid="{00000000-0005-0000-0000-000060000000}"/>
    <cellStyle name="40% - Accent4 2 4" xfId="98" xr:uid="{00000000-0005-0000-0000-000061000000}"/>
    <cellStyle name="40% - Accent4 2 5" xfId="99" xr:uid="{00000000-0005-0000-0000-000062000000}"/>
    <cellStyle name="40% - Accent4 2 6" xfId="100" xr:uid="{00000000-0005-0000-0000-000063000000}"/>
    <cellStyle name="40% - Accent4 2 7" xfId="101" xr:uid="{00000000-0005-0000-0000-000064000000}"/>
    <cellStyle name="40% - Accent4 2 8" xfId="102" xr:uid="{00000000-0005-0000-0000-000065000000}"/>
    <cellStyle name="40% - Accent4 3" xfId="103" xr:uid="{00000000-0005-0000-0000-000066000000}"/>
    <cellStyle name="40% - Accent4 4" xfId="104" xr:uid="{00000000-0005-0000-0000-000067000000}"/>
    <cellStyle name="40% - Accent5" xfId="105" builtinId="47" customBuiltin="1"/>
    <cellStyle name="40% - Accent5 2" xfId="106" xr:uid="{00000000-0005-0000-0000-000069000000}"/>
    <cellStyle name="40% - Accent5 2 2" xfId="107" xr:uid="{00000000-0005-0000-0000-00006A000000}"/>
    <cellStyle name="40% - Accent5 2 3" xfId="108" xr:uid="{00000000-0005-0000-0000-00006B000000}"/>
    <cellStyle name="40% - Accent5 2 4" xfId="109" xr:uid="{00000000-0005-0000-0000-00006C000000}"/>
    <cellStyle name="40% - Accent5 2 5" xfId="110" xr:uid="{00000000-0005-0000-0000-00006D000000}"/>
    <cellStyle name="40% - Accent5 2 6" xfId="111" xr:uid="{00000000-0005-0000-0000-00006E000000}"/>
    <cellStyle name="40% - Accent5 2 7" xfId="112" xr:uid="{00000000-0005-0000-0000-00006F000000}"/>
    <cellStyle name="40% - Accent5 2 8" xfId="113" xr:uid="{00000000-0005-0000-0000-000070000000}"/>
    <cellStyle name="40% - Accent5 3" xfId="114" xr:uid="{00000000-0005-0000-0000-000071000000}"/>
    <cellStyle name="40% - Accent5 4" xfId="115" xr:uid="{00000000-0005-0000-0000-000072000000}"/>
    <cellStyle name="40% - Accent6" xfId="116" builtinId="51" customBuiltin="1"/>
    <cellStyle name="40% - Accent6 2" xfId="117" xr:uid="{00000000-0005-0000-0000-000074000000}"/>
    <cellStyle name="40% - Accent6 2 2" xfId="118" xr:uid="{00000000-0005-0000-0000-000075000000}"/>
    <cellStyle name="40% - Accent6 2 3" xfId="119" xr:uid="{00000000-0005-0000-0000-000076000000}"/>
    <cellStyle name="40% - Accent6 2 4" xfId="120" xr:uid="{00000000-0005-0000-0000-000077000000}"/>
    <cellStyle name="40% - Accent6 2 5" xfId="121" xr:uid="{00000000-0005-0000-0000-000078000000}"/>
    <cellStyle name="40% - Accent6 2 6" xfId="122" xr:uid="{00000000-0005-0000-0000-000079000000}"/>
    <cellStyle name="40% - Accent6 2 7" xfId="123" xr:uid="{00000000-0005-0000-0000-00007A000000}"/>
    <cellStyle name="40% - Accent6 2 8" xfId="124" xr:uid="{00000000-0005-0000-0000-00007B000000}"/>
    <cellStyle name="40% - Accent6 3" xfId="125" xr:uid="{00000000-0005-0000-0000-00007C000000}"/>
    <cellStyle name="40% - Accent6 4" xfId="126" xr:uid="{00000000-0005-0000-0000-00007D000000}"/>
    <cellStyle name="60% - Accent1" xfId="127" builtinId="32" customBuiltin="1"/>
    <cellStyle name="60% - Accent1 2" xfId="128" xr:uid="{00000000-0005-0000-0000-00007F000000}"/>
    <cellStyle name="60% - Accent1 2 2" xfId="129" xr:uid="{00000000-0005-0000-0000-000080000000}"/>
    <cellStyle name="60% - Accent1 2 3" xfId="130" xr:uid="{00000000-0005-0000-0000-000081000000}"/>
    <cellStyle name="60% - Accent1 2 4" xfId="131" xr:uid="{00000000-0005-0000-0000-000082000000}"/>
    <cellStyle name="60% - Accent2" xfId="132" builtinId="36" customBuiltin="1"/>
    <cellStyle name="60% - Accent2 2" xfId="133" xr:uid="{00000000-0005-0000-0000-000084000000}"/>
    <cellStyle name="60% - Accent2 2 2" xfId="134" xr:uid="{00000000-0005-0000-0000-000085000000}"/>
    <cellStyle name="60% - Accent2 2 3" xfId="135" xr:uid="{00000000-0005-0000-0000-000086000000}"/>
    <cellStyle name="60% - Accent2 2 4" xfId="136" xr:uid="{00000000-0005-0000-0000-000087000000}"/>
    <cellStyle name="60% - Accent3" xfId="137" builtinId="40" customBuiltin="1"/>
    <cellStyle name="60% - Accent3 2" xfId="138" xr:uid="{00000000-0005-0000-0000-000089000000}"/>
    <cellStyle name="60% - Accent3 2 2" xfId="139" xr:uid="{00000000-0005-0000-0000-00008A000000}"/>
    <cellStyle name="60% - Accent3 2 3" xfId="140" xr:uid="{00000000-0005-0000-0000-00008B000000}"/>
    <cellStyle name="60% - Accent3 2 4" xfId="141" xr:uid="{00000000-0005-0000-0000-00008C000000}"/>
    <cellStyle name="60% - Accent4" xfId="142" builtinId="44" customBuiltin="1"/>
    <cellStyle name="60% - Accent4 2" xfId="143" xr:uid="{00000000-0005-0000-0000-00008E000000}"/>
    <cellStyle name="60% - Accent4 2 2" xfId="144" xr:uid="{00000000-0005-0000-0000-00008F000000}"/>
    <cellStyle name="60% - Accent4 2 3" xfId="145" xr:uid="{00000000-0005-0000-0000-000090000000}"/>
    <cellStyle name="60% - Accent4 2 4" xfId="146" xr:uid="{00000000-0005-0000-0000-000091000000}"/>
    <cellStyle name="60% - Accent5" xfId="147" builtinId="48" customBuiltin="1"/>
    <cellStyle name="60% - Accent5 2" xfId="148" xr:uid="{00000000-0005-0000-0000-000093000000}"/>
    <cellStyle name="60% - Accent5 2 2" xfId="149" xr:uid="{00000000-0005-0000-0000-000094000000}"/>
    <cellStyle name="60% - Accent5 2 3" xfId="150" xr:uid="{00000000-0005-0000-0000-000095000000}"/>
    <cellStyle name="60% - Accent5 2 4" xfId="151" xr:uid="{00000000-0005-0000-0000-000096000000}"/>
    <cellStyle name="60% - Accent6" xfId="152" builtinId="52" customBuiltin="1"/>
    <cellStyle name="60% - Accent6 2" xfId="153" xr:uid="{00000000-0005-0000-0000-000098000000}"/>
    <cellStyle name="60% - Accent6 2 2" xfId="154" xr:uid="{00000000-0005-0000-0000-000099000000}"/>
    <cellStyle name="60% - Accent6 2 3" xfId="155" xr:uid="{00000000-0005-0000-0000-00009A000000}"/>
    <cellStyle name="60% - Accent6 2 4" xfId="156" xr:uid="{00000000-0005-0000-0000-00009B000000}"/>
    <cellStyle name="Accent1" xfId="157" builtinId="29" customBuiltin="1"/>
    <cellStyle name="Accent1 2" xfId="158" xr:uid="{00000000-0005-0000-0000-00009D000000}"/>
    <cellStyle name="Accent1 2 2" xfId="159" xr:uid="{00000000-0005-0000-0000-00009E000000}"/>
    <cellStyle name="Accent1 2 3" xfId="160" xr:uid="{00000000-0005-0000-0000-00009F000000}"/>
    <cellStyle name="Accent1 2 4" xfId="161" xr:uid="{00000000-0005-0000-0000-0000A0000000}"/>
    <cellStyle name="Accent2" xfId="162" builtinId="33" customBuiltin="1"/>
    <cellStyle name="Accent2 2" xfId="163" xr:uid="{00000000-0005-0000-0000-0000A2000000}"/>
    <cellStyle name="Accent2 2 2" xfId="164" xr:uid="{00000000-0005-0000-0000-0000A3000000}"/>
    <cellStyle name="Accent2 2 3" xfId="165" xr:uid="{00000000-0005-0000-0000-0000A4000000}"/>
    <cellStyle name="Accent2 2 4" xfId="166" xr:uid="{00000000-0005-0000-0000-0000A5000000}"/>
    <cellStyle name="Accent3" xfId="167" builtinId="37" customBuiltin="1"/>
    <cellStyle name="Accent3 2" xfId="168" xr:uid="{00000000-0005-0000-0000-0000A7000000}"/>
    <cellStyle name="Accent3 2 2" xfId="169" xr:uid="{00000000-0005-0000-0000-0000A8000000}"/>
    <cellStyle name="Accent3 2 3" xfId="170" xr:uid="{00000000-0005-0000-0000-0000A9000000}"/>
    <cellStyle name="Accent3 2 4" xfId="171" xr:uid="{00000000-0005-0000-0000-0000AA000000}"/>
    <cellStyle name="Accent4" xfId="172" builtinId="41" customBuiltin="1"/>
    <cellStyle name="Accent4 2" xfId="173" xr:uid="{00000000-0005-0000-0000-0000AC000000}"/>
    <cellStyle name="Accent4 2 2" xfId="174" xr:uid="{00000000-0005-0000-0000-0000AD000000}"/>
    <cellStyle name="Accent4 2 3" xfId="175" xr:uid="{00000000-0005-0000-0000-0000AE000000}"/>
    <cellStyle name="Accent4 2 4" xfId="176" xr:uid="{00000000-0005-0000-0000-0000AF000000}"/>
    <cellStyle name="Accent5" xfId="177" builtinId="45" customBuiltin="1"/>
    <cellStyle name="Accent5 2" xfId="178" xr:uid="{00000000-0005-0000-0000-0000B1000000}"/>
    <cellStyle name="Accent6" xfId="179" builtinId="49" customBuiltin="1"/>
    <cellStyle name="Accent6 2" xfId="180" xr:uid="{00000000-0005-0000-0000-0000B3000000}"/>
    <cellStyle name="Accent6 2 2" xfId="181" xr:uid="{00000000-0005-0000-0000-0000B4000000}"/>
    <cellStyle name="Accent6 2 3" xfId="182" xr:uid="{00000000-0005-0000-0000-0000B5000000}"/>
    <cellStyle name="Accent6 2 4" xfId="183" xr:uid="{00000000-0005-0000-0000-0000B6000000}"/>
    <cellStyle name="AccountClassificationTotalRowBalanceCol" xfId="184" xr:uid="{00000000-0005-0000-0000-0000B7000000}"/>
    <cellStyle name="AccountClassificationTotalRowDescCol" xfId="185" xr:uid="{00000000-0005-0000-0000-0000B8000000}"/>
    <cellStyle name="AccountClassificationTotalRowJERefCol" xfId="186" xr:uid="{00000000-0005-0000-0000-0000B9000000}"/>
    <cellStyle name="AccountClassificationTotalRowNameCol" xfId="187" xr:uid="{00000000-0005-0000-0000-0000BA000000}"/>
    <cellStyle name="AccountClassificationTotalRowSpacerCol" xfId="188" xr:uid="{00000000-0005-0000-0000-0000BB000000}"/>
    <cellStyle name="AccountClassificationTotalRowVarPectCol" xfId="189" xr:uid="{00000000-0005-0000-0000-0000BC000000}"/>
    <cellStyle name="AccountClassificationTotalRowWPRefCol" xfId="190" xr:uid="{00000000-0005-0000-0000-0000BD000000}"/>
    <cellStyle name="AccountDetailRowBalanceCol" xfId="191" xr:uid="{00000000-0005-0000-0000-0000BE000000}"/>
    <cellStyle name="AccountDetailRowBalanceColNegative" xfId="192" xr:uid="{00000000-0005-0000-0000-0000BF000000}"/>
    <cellStyle name="AccountDetailRowDescCol" xfId="193" xr:uid="{00000000-0005-0000-0000-0000C0000000}"/>
    <cellStyle name="AccountDetailRowJERefCol" xfId="194" xr:uid="{00000000-0005-0000-0000-0000C1000000}"/>
    <cellStyle name="AccountDetailRowNameCol" xfId="195" xr:uid="{00000000-0005-0000-0000-0000C2000000}"/>
    <cellStyle name="AccountDetailRowSpacerCol" xfId="196" xr:uid="{00000000-0005-0000-0000-0000C3000000}"/>
    <cellStyle name="AccountDetailRowVarPectCol" xfId="197" xr:uid="{00000000-0005-0000-0000-0000C4000000}"/>
    <cellStyle name="AccountDetailRowWPRefCol" xfId="198" xr:uid="{00000000-0005-0000-0000-0000C5000000}"/>
    <cellStyle name="AccountNetIncomeLossRowBalanceCol" xfId="199" xr:uid="{00000000-0005-0000-0000-0000C6000000}"/>
    <cellStyle name="AccountNetIncomeLossRowDescCol" xfId="200" xr:uid="{00000000-0005-0000-0000-0000C7000000}"/>
    <cellStyle name="AccountNetIncomeLossRowJERefCol" xfId="201" xr:uid="{00000000-0005-0000-0000-0000C8000000}"/>
    <cellStyle name="AccountNetIncomeLossRowNameCol" xfId="202" xr:uid="{00000000-0005-0000-0000-0000C9000000}"/>
    <cellStyle name="AccountNetIncomeLossRowSpacerCol" xfId="203" xr:uid="{00000000-0005-0000-0000-0000CA000000}"/>
    <cellStyle name="AccountNetIncomeLossRowWPRefCol" xfId="204" xr:uid="{00000000-0005-0000-0000-0000CB000000}"/>
    <cellStyle name="AccountTotalBalanceCol" xfId="205" xr:uid="{00000000-0005-0000-0000-0000CC000000}"/>
    <cellStyle name="AccountTotalDescCol" xfId="206" xr:uid="{00000000-0005-0000-0000-0000CD000000}"/>
    <cellStyle name="AccountTotalDetailRowBalanceCol" xfId="207" xr:uid="{00000000-0005-0000-0000-0000CE000000}"/>
    <cellStyle name="AccountTotalDetailRowDescCol" xfId="208" xr:uid="{00000000-0005-0000-0000-0000CF000000}"/>
    <cellStyle name="AccountTotalDetailRowJERefCol" xfId="209" xr:uid="{00000000-0005-0000-0000-0000D0000000}"/>
    <cellStyle name="AccountTotalDetailRowNameCol" xfId="210" xr:uid="{00000000-0005-0000-0000-0000D1000000}"/>
    <cellStyle name="AccountTotalDetailRowSpacerCol" xfId="211" xr:uid="{00000000-0005-0000-0000-0000D2000000}"/>
    <cellStyle name="AccountTotalDetailRowVarPectCol" xfId="212" xr:uid="{00000000-0005-0000-0000-0000D3000000}"/>
    <cellStyle name="AccountTotalDetailRowWPRefCol" xfId="213" xr:uid="{00000000-0005-0000-0000-0000D4000000}"/>
    <cellStyle name="AccountTotalJERefCol" xfId="214" xr:uid="{00000000-0005-0000-0000-0000D5000000}"/>
    <cellStyle name="AccountTotalNameCol" xfId="215" xr:uid="{00000000-0005-0000-0000-0000D6000000}"/>
    <cellStyle name="AccountTotalVarPectCol" xfId="216" xr:uid="{00000000-0005-0000-0000-0000D7000000}"/>
    <cellStyle name="AccountTotalWPRefCol" xfId="217" xr:uid="{00000000-0005-0000-0000-0000D8000000}"/>
    <cellStyle name="AccountTypeTotalRowBalanceCol" xfId="218" xr:uid="{00000000-0005-0000-0000-0000D9000000}"/>
    <cellStyle name="AccountTypeTotalRowDescCol" xfId="219" xr:uid="{00000000-0005-0000-0000-0000DA000000}"/>
    <cellStyle name="AccountTypeTotalRowJERefCol" xfId="220" xr:uid="{00000000-0005-0000-0000-0000DB000000}"/>
    <cellStyle name="AccountTypeTotalRowNameCol" xfId="221" xr:uid="{00000000-0005-0000-0000-0000DC000000}"/>
    <cellStyle name="AccountTypeTotalRowSpacerCol" xfId="222" xr:uid="{00000000-0005-0000-0000-0000DD000000}"/>
    <cellStyle name="AccountTypeTotalRowVarPectCol" xfId="223" xr:uid="{00000000-0005-0000-0000-0000DE000000}"/>
    <cellStyle name="AccountTypeTotalRowWPRefCol" xfId="224" xr:uid="{00000000-0005-0000-0000-0000DF000000}"/>
    <cellStyle name="Amount" xfId="225" xr:uid="{00000000-0005-0000-0000-0000E0000000}"/>
    <cellStyle name="Amt_Percent Ctr" xfId="226" xr:uid="{00000000-0005-0000-0000-0000E1000000}"/>
    <cellStyle name="Bad" xfId="227" builtinId="27" customBuiltin="1"/>
    <cellStyle name="Bad 2" xfId="228" xr:uid="{00000000-0005-0000-0000-0000E3000000}"/>
    <cellStyle name="Bad 2 2" xfId="229" xr:uid="{00000000-0005-0000-0000-0000E4000000}"/>
    <cellStyle name="Bad 2 3" xfId="230" xr:uid="{00000000-0005-0000-0000-0000E5000000}"/>
    <cellStyle name="Bad 2 4" xfId="231" xr:uid="{00000000-0005-0000-0000-0000E6000000}"/>
    <cellStyle name="BlankRow" xfId="232" xr:uid="{00000000-0005-0000-0000-0000E7000000}"/>
    <cellStyle name="BlankRowJERefCol" xfId="233" xr:uid="{00000000-0005-0000-0000-0000E8000000}"/>
    <cellStyle name="BlueInt" xfId="1919" xr:uid="{B473BAC9-E499-45A7-AD81-4A0EEE3F33FA}"/>
    <cellStyle name="Calculation" xfId="234" builtinId="22" customBuiltin="1"/>
    <cellStyle name="Calculation 2" xfId="235" xr:uid="{00000000-0005-0000-0000-0000EA000000}"/>
    <cellStyle name="Calculation 2 2" xfId="236" xr:uid="{00000000-0005-0000-0000-0000EB000000}"/>
    <cellStyle name="Calculation 2 3" xfId="237" xr:uid="{00000000-0005-0000-0000-0000EC000000}"/>
    <cellStyle name="Calculation 2 4" xfId="238" xr:uid="{00000000-0005-0000-0000-0000ED000000}"/>
    <cellStyle name="CBF$Number" xfId="239" xr:uid="{00000000-0005-0000-0000-0000EE000000}"/>
    <cellStyle name="CBFFundName" xfId="240" xr:uid="{00000000-0005-0000-0000-0000EF000000}"/>
    <cellStyle name="CBFHeader" xfId="241" xr:uid="{00000000-0005-0000-0000-0000F0000000}"/>
    <cellStyle name="CBFNumber" xfId="242" xr:uid="{00000000-0005-0000-0000-0000F1000000}"/>
    <cellStyle name="CBFSectionTitle" xfId="243" xr:uid="{00000000-0005-0000-0000-0000F2000000}"/>
    <cellStyle name="CBFSectionTotal" xfId="244" xr:uid="{00000000-0005-0000-0000-0000F3000000}"/>
    <cellStyle name="CBFText" xfId="245" xr:uid="{00000000-0005-0000-0000-0000F4000000}"/>
    <cellStyle name="Centered Heading_Saurer balance sheet 98" xfId="1920" xr:uid="{2F98ADF6-5910-492F-8A08-F9D0A665478C}"/>
    <cellStyle name="CenterHead" xfId="246" xr:uid="{00000000-0005-0000-0000-0000F5000000}"/>
    <cellStyle name="Check Cell" xfId="247" builtinId="23" customBuiltin="1"/>
    <cellStyle name="Check Cell 2" xfId="248" xr:uid="{00000000-0005-0000-0000-0000F7000000}"/>
    <cellStyle name="ClassifiedGroupTotalRowBalanceCol" xfId="249" xr:uid="{00000000-0005-0000-0000-0000F8000000}"/>
    <cellStyle name="ClassifiedGroupTotalRowDescCol" xfId="250" xr:uid="{00000000-0005-0000-0000-0000F9000000}"/>
    <cellStyle name="ClassifiedGroupTotalRowJERefCol" xfId="251" xr:uid="{00000000-0005-0000-0000-0000FA000000}"/>
    <cellStyle name="ClassifiedGroupTotalRowNameCol" xfId="252" xr:uid="{00000000-0005-0000-0000-0000FB000000}"/>
    <cellStyle name="ClassifiedGroupTotalRowSpacerCol" xfId="253" xr:uid="{00000000-0005-0000-0000-0000FC000000}"/>
    <cellStyle name="ClassifiedGroupTotalRowVarPectCol" xfId="254" xr:uid="{00000000-0005-0000-0000-0000FD000000}"/>
    <cellStyle name="ClassifiedGroupTotalRowWPRefCol" xfId="255" xr:uid="{00000000-0005-0000-0000-0000FE000000}"/>
    <cellStyle name="Column CtrAcross" xfId="256" xr:uid="{00000000-0005-0000-0000-0000FF000000}"/>
    <cellStyle name="Column_Center" xfId="257" xr:uid="{00000000-0005-0000-0000-000000010000}"/>
    <cellStyle name="ColumnHeader" xfId="258" xr:uid="{00000000-0005-0000-0000-000001010000}"/>
    <cellStyle name="ColumnHeaderRowBalanceCol" xfId="259" xr:uid="{00000000-0005-0000-0000-000002010000}"/>
    <cellStyle name="ColumnHeaderRowBlankCol" xfId="260" xr:uid="{00000000-0005-0000-0000-000003010000}"/>
    <cellStyle name="ColumnHeaderRowCreditCol" xfId="261" xr:uid="{00000000-0005-0000-0000-000004010000}"/>
    <cellStyle name="ColumnHeaderRowDebitCol" xfId="262" xr:uid="{00000000-0005-0000-0000-000005010000}"/>
    <cellStyle name="ColumnHeaderRowDescCol" xfId="263" xr:uid="{00000000-0005-0000-0000-000006010000}"/>
    <cellStyle name="ColumnHeaderRowJERefCol" xfId="264" xr:uid="{00000000-0005-0000-0000-000007010000}"/>
    <cellStyle name="ColumnHeaderRowNameCol" xfId="265" xr:uid="{00000000-0005-0000-0000-000008010000}"/>
    <cellStyle name="ColumnHeaderRowSpacerCol" xfId="266" xr:uid="{00000000-0005-0000-0000-000009010000}"/>
    <cellStyle name="ColumnHeaderRowVarPectCol" xfId="267" xr:uid="{00000000-0005-0000-0000-00000A010000}"/>
    <cellStyle name="ColumnHeaderRowWPRefCol" xfId="268" xr:uid="{00000000-0005-0000-0000-00000B010000}"/>
    <cellStyle name="ColumnMetadataRowBalanceCol" xfId="269" xr:uid="{00000000-0005-0000-0000-00000C010000}"/>
    <cellStyle name="ColumnMetadataRowDescCol" xfId="270" xr:uid="{00000000-0005-0000-0000-00000D010000}"/>
    <cellStyle name="ColumnMetadataRowJERefCol" xfId="271" xr:uid="{00000000-0005-0000-0000-00000E010000}"/>
    <cellStyle name="ColumnMetadataRowNameCol" xfId="272" xr:uid="{00000000-0005-0000-0000-00000F010000}"/>
    <cellStyle name="ColumnMetadataRowSpacerCol" xfId="273" xr:uid="{00000000-0005-0000-0000-000010010000}"/>
    <cellStyle name="ColumnMetadataRowVarPectCol" xfId="274" xr:uid="{00000000-0005-0000-0000-000011010000}"/>
    <cellStyle name="ColumnMetadataRowWPRefCol" xfId="275" xr:uid="{00000000-0005-0000-0000-000012010000}"/>
    <cellStyle name="Comma" xfId="276" builtinId="3"/>
    <cellStyle name="Comma %" xfId="277" xr:uid="{00000000-0005-0000-0000-000014010000}"/>
    <cellStyle name="Comma 0.0" xfId="278" xr:uid="{00000000-0005-0000-0000-000015010000}"/>
    <cellStyle name="Comma 0.00" xfId="279" xr:uid="{00000000-0005-0000-0000-000016010000}"/>
    <cellStyle name="Comma 10" xfId="280" xr:uid="{00000000-0005-0000-0000-000017010000}"/>
    <cellStyle name="Comma 10 2" xfId="281" xr:uid="{00000000-0005-0000-0000-000018010000}"/>
    <cellStyle name="Comma 10 2 2" xfId="282" xr:uid="{00000000-0005-0000-0000-000019010000}"/>
    <cellStyle name="Comma 11" xfId="283" xr:uid="{00000000-0005-0000-0000-00001A010000}"/>
    <cellStyle name="Comma 11 2" xfId="284" xr:uid="{00000000-0005-0000-0000-00001B010000}"/>
    <cellStyle name="Comma 11 3" xfId="285" xr:uid="{00000000-0005-0000-0000-00001C010000}"/>
    <cellStyle name="Comma 12" xfId="286" xr:uid="{00000000-0005-0000-0000-00001D010000}"/>
    <cellStyle name="Comma 13" xfId="287" xr:uid="{00000000-0005-0000-0000-00001E010000}"/>
    <cellStyle name="Comma 13 2" xfId="288" xr:uid="{00000000-0005-0000-0000-00001F010000}"/>
    <cellStyle name="Comma 14" xfId="289" xr:uid="{00000000-0005-0000-0000-000020010000}"/>
    <cellStyle name="Comma 14 2" xfId="290" xr:uid="{00000000-0005-0000-0000-000021010000}"/>
    <cellStyle name="Comma 14 2 2" xfId="291" xr:uid="{00000000-0005-0000-0000-000022010000}"/>
    <cellStyle name="Comma 14 2 2 2" xfId="292" xr:uid="{00000000-0005-0000-0000-000023010000}"/>
    <cellStyle name="Comma 14 2 2 2 2" xfId="293" xr:uid="{00000000-0005-0000-0000-000024010000}"/>
    <cellStyle name="Comma 14 2 2 3" xfId="294" xr:uid="{00000000-0005-0000-0000-000025010000}"/>
    <cellStyle name="Comma 14 2 3" xfId="295" xr:uid="{00000000-0005-0000-0000-000026010000}"/>
    <cellStyle name="Comma 14 2 3 2" xfId="296" xr:uid="{00000000-0005-0000-0000-000027010000}"/>
    <cellStyle name="Comma 14 2 4" xfId="297" xr:uid="{00000000-0005-0000-0000-000028010000}"/>
    <cellStyle name="Comma 14 2 4 2" xfId="298" xr:uid="{00000000-0005-0000-0000-000029010000}"/>
    <cellStyle name="Comma 14 2 5" xfId="299" xr:uid="{00000000-0005-0000-0000-00002A010000}"/>
    <cellStyle name="Comma 14 3" xfId="300" xr:uid="{00000000-0005-0000-0000-00002B010000}"/>
    <cellStyle name="Comma 14 3 2" xfId="301" xr:uid="{00000000-0005-0000-0000-00002C010000}"/>
    <cellStyle name="Comma 14 3 2 2" xfId="302" xr:uid="{00000000-0005-0000-0000-00002D010000}"/>
    <cellStyle name="Comma 14 3 3" xfId="303" xr:uid="{00000000-0005-0000-0000-00002E010000}"/>
    <cellStyle name="Comma 14 3 3 2" xfId="304" xr:uid="{00000000-0005-0000-0000-00002F010000}"/>
    <cellStyle name="Comma 14 3 4" xfId="305" xr:uid="{00000000-0005-0000-0000-000030010000}"/>
    <cellStyle name="Comma 14 4" xfId="306" xr:uid="{00000000-0005-0000-0000-000031010000}"/>
    <cellStyle name="Comma 14 4 2" xfId="307" xr:uid="{00000000-0005-0000-0000-000032010000}"/>
    <cellStyle name="Comma 14 4 2 2" xfId="308" xr:uid="{00000000-0005-0000-0000-000033010000}"/>
    <cellStyle name="Comma 14 4 3" xfId="309" xr:uid="{00000000-0005-0000-0000-000034010000}"/>
    <cellStyle name="Comma 14 5" xfId="310" xr:uid="{00000000-0005-0000-0000-000035010000}"/>
    <cellStyle name="Comma 14 5 2" xfId="311" xr:uid="{00000000-0005-0000-0000-000036010000}"/>
    <cellStyle name="Comma 14 6" xfId="312" xr:uid="{00000000-0005-0000-0000-000037010000}"/>
    <cellStyle name="Comma 14 6 2" xfId="313" xr:uid="{00000000-0005-0000-0000-000038010000}"/>
    <cellStyle name="Comma 14 7" xfId="314" xr:uid="{00000000-0005-0000-0000-000039010000}"/>
    <cellStyle name="Comma 15" xfId="315" xr:uid="{00000000-0005-0000-0000-00003A010000}"/>
    <cellStyle name="Comma 15 2" xfId="316" xr:uid="{00000000-0005-0000-0000-00003B010000}"/>
    <cellStyle name="Comma 15 2 2" xfId="317" xr:uid="{00000000-0005-0000-0000-00003C010000}"/>
    <cellStyle name="Comma 15 3" xfId="318" xr:uid="{00000000-0005-0000-0000-00003D010000}"/>
    <cellStyle name="Comma 16" xfId="319" xr:uid="{00000000-0005-0000-0000-00003E010000}"/>
    <cellStyle name="Comma 16 2" xfId="320" xr:uid="{00000000-0005-0000-0000-00003F010000}"/>
    <cellStyle name="Comma 16 2 2" xfId="321" xr:uid="{00000000-0005-0000-0000-000040010000}"/>
    <cellStyle name="Comma 16 3" xfId="322" xr:uid="{00000000-0005-0000-0000-000041010000}"/>
    <cellStyle name="Comma 17" xfId="323" xr:uid="{00000000-0005-0000-0000-000042010000}"/>
    <cellStyle name="Comma 17 2" xfId="324" xr:uid="{00000000-0005-0000-0000-000043010000}"/>
    <cellStyle name="Comma 17 2 2" xfId="325" xr:uid="{00000000-0005-0000-0000-000044010000}"/>
    <cellStyle name="Comma 17 3" xfId="326" xr:uid="{00000000-0005-0000-0000-000045010000}"/>
    <cellStyle name="Comma 18" xfId="327" xr:uid="{00000000-0005-0000-0000-000046010000}"/>
    <cellStyle name="Comma 18 2" xfId="328" xr:uid="{00000000-0005-0000-0000-000047010000}"/>
    <cellStyle name="Comma 18 2 2" xfId="329" xr:uid="{00000000-0005-0000-0000-000048010000}"/>
    <cellStyle name="Comma 18 3" xfId="330" xr:uid="{00000000-0005-0000-0000-000049010000}"/>
    <cellStyle name="Comma 19" xfId="331" xr:uid="{00000000-0005-0000-0000-00004A010000}"/>
    <cellStyle name="Comma 19 2" xfId="332" xr:uid="{00000000-0005-0000-0000-00004B010000}"/>
    <cellStyle name="Comma 19 2 2" xfId="333" xr:uid="{00000000-0005-0000-0000-00004C010000}"/>
    <cellStyle name="Comma 19 3" xfId="334" xr:uid="{00000000-0005-0000-0000-00004D010000}"/>
    <cellStyle name="Comma 2" xfId="335" xr:uid="{00000000-0005-0000-0000-00004E010000}"/>
    <cellStyle name="Comma 2 10" xfId="336" xr:uid="{00000000-0005-0000-0000-00004F010000}"/>
    <cellStyle name="Comma 2 10 2" xfId="337" xr:uid="{00000000-0005-0000-0000-000050010000}"/>
    <cellStyle name="Comma 2 11" xfId="338" xr:uid="{00000000-0005-0000-0000-000051010000}"/>
    <cellStyle name="Comma 2 12" xfId="339" xr:uid="{00000000-0005-0000-0000-000052010000}"/>
    <cellStyle name="Comma 2 12 2" xfId="340" xr:uid="{00000000-0005-0000-0000-000053010000}"/>
    <cellStyle name="Comma 2 13" xfId="341" xr:uid="{00000000-0005-0000-0000-000054010000}"/>
    <cellStyle name="Comma 2 2" xfId="342" xr:uid="{00000000-0005-0000-0000-000055010000}"/>
    <cellStyle name="Comma 2 2 2" xfId="343" xr:uid="{00000000-0005-0000-0000-000056010000}"/>
    <cellStyle name="Comma 2 2 2 2" xfId="344" xr:uid="{00000000-0005-0000-0000-000057010000}"/>
    <cellStyle name="Comma 2 2 2 2 2" xfId="345" xr:uid="{00000000-0005-0000-0000-000058010000}"/>
    <cellStyle name="Comma 2 2 2 3" xfId="346" xr:uid="{00000000-0005-0000-0000-000059010000}"/>
    <cellStyle name="Comma 2 2 3" xfId="347" xr:uid="{00000000-0005-0000-0000-00005A010000}"/>
    <cellStyle name="Comma 2 2 3 2" xfId="348" xr:uid="{00000000-0005-0000-0000-00005B010000}"/>
    <cellStyle name="Comma 2 2 4" xfId="349" xr:uid="{00000000-0005-0000-0000-00005C010000}"/>
    <cellStyle name="Comma 2 2 4 2" xfId="350" xr:uid="{00000000-0005-0000-0000-00005D010000}"/>
    <cellStyle name="Comma 2 2 5" xfId="351" xr:uid="{00000000-0005-0000-0000-00005E010000}"/>
    <cellStyle name="Comma 2 2 5 2" xfId="352" xr:uid="{00000000-0005-0000-0000-00005F010000}"/>
    <cellStyle name="Comma 2 2 6" xfId="353" xr:uid="{00000000-0005-0000-0000-000060010000}"/>
    <cellStyle name="Comma 2 3" xfId="354" xr:uid="{00000000-0005-0000-0000-000061010000}"/>
    <cellStyle name="Comma 2 3 2" xfId="355" xr:uid="{00000000-0005-0000-0000-000062010000}"/>
    <cellStyle name="Comma 2 3 2 2" xfId="356" xr:uid="{00000000-0005-0000-0000-000063010000}"/>
    <cellStyle name="Comma 2 3 2 3" xfId="357" xr:uid="{00000000-0005-0000-0000-000064010000}"/>
    <cellStyle name="Comma 2 3 3" xfId="358" xr:uid="{00000000-0005-0000-0000-000065010000}"/>
    <cellStyle name="Comma 2 3 3 2" xfId="359" xr:uid="{00000000-0005-0000-0000-000066010000}"/>
    <cellStyle name="Comma 2 3 4" xfId="360" xr:uid="{00000000-0005-0000-0000-000067010000}"/>
    <cellStyle name="Comma 2 4" xfId="361" xr:uid="{00000000-0005-0000-0000-000068010000}"/>
    <cellStyle name="Comma 2 4 2" xfId="362" xr:uid="{00000000-0005-0000-0000-000069010000}"/>
    <cellStyle name="Comma 2 4 2 2" xfId="363" xr:uid="{00000000-0005-0000-0000-00006A010000}"/>
    <cellStyle name="Comma 2 5" xfId="364" xr:uid="{00000000-0005-0000-0000-00006B010000}"/>
    <cellStyle name="Comma 2 5 2" xfId="365" xr:uid="{00000000-0005-0000-0000-00006C010000}"/>
    <cellStyle name="Comma 2 6" xfId="366" xr:uid="{00000000-0005-0000-0000-00006D010000}"/>
    <cellStyle name="Comma 2 7" xfId="367" xr:uid="{00000000-0005-0000-0000-00006E010000}"/>
    <cellStyle name="Comma 2 8" xfId="368" xr:uid="{00000000-0005-0000-0000-00006F010000}"/>
    <cellStyle name="Comma 2 8 2" xfId="369" xr:uid="{00000000-0005-0000-0000-000070010000}"/>
    <cellStyle name="Comma 2 9" xfId="370" xr:uid="{00000000-0005-0000-0000-000071010000}"/>
    <cellStyle name="Comma 2 9 2" xfId="371" xr:uid="{00000000-0005-0000-0000-000072010000}"/>
    <cellStyle name="Comma 20" xfId="372" xr:uid="{00000000-0005-0000-0000-000073010000}"/>
    <cellStyle name="Comma 20 2" xfId="373" xr:uid="{00000000-0005-0000-0000-000074010000}"/>
    <cellStyle name="Comma 21" xfId="374" xr:uid="{00000000-0005-0000-0000-000075010000}"/>
    <cellStyle name="Comma 21 2" xfId="375" xr:uid="{00000000-0005-0000-0000-000076010000}"/>
    <cellStyle name="Comma 22" xfId="376" xr:uid="{00000000-0005-0000-0000-000077010000}"/>
    <cellStyle name="Comma 23" xfId="377" xr:uid="{00000000-0005-0000-0000-000078010000}"/>
    <cellStyle name="Comma 24" xfId="378" xr:uid="{00000000-0005-0000-0000-000079010000}"/>
    <cellStyle name="Comma 25" xfId="379" xr:uid="{00000000-0005-0000-0000-00007A010000}"/>
    <cellStyle name="Comma 26" xfId="380" xr:uid="{00000000-0005-0000-0000-00007B010000}"/>
    <cellStyle name="Comma 27" xfId="381" xr:uid="{00000000-0005-0000-0000-00007C010000}"/>
    <cellStyle name="Comma 28" xfId="382" xr:uid="{00000000-0005-0000-0000-00007D010000}"/>
    <cellStyle name="Comma 29" xfId="1916" xr:uid="{D2014814-B0A5-4CA9-A1F4-EA8B627D89DA}"/>
    <cellStyle name="Comma 3" xfId="383" xr:uid="{00000000-0005-0000-0000-00007E010000}"/>
    <cellStyle name="Comma 3 2" xfId="384" xr:uid="{00000000-0005-0000-0000-00007F010000}"/>
    <cellStyle name="Comma 3 2 2" xfId="385" xr:uid="{00000000-0005-0000-0000-000080010000}"/>
    <cellStyle name="Comma 3 2 2 2" xfId="386" xr:uid="{00000000-0005-0000-0000-000081010000}"/>
    <cellStyle name="Comma 3 2 3" xfId="387" xr:uid="{00000000-0005-0000-0000-000082010000}"/>
    <cellStyle name="Comma 3 2 3 2" xfId="388" xr:uid="{00000000-0005-0000-0000-000083010000}"/>
    <cellStyle name="Comma 3 2 4" xfId="389" xr:uid="{00000000-0005-0000-0000-000084010000}"/>
    <cellStyle name="Comma 3 2 4 2" xfId="390" xr:uid="{00000000-0005-0000-0000-000085010000}"/>
    <cellStyle name="Comma 3 2 5" xfId="391" xr:uid="{00000000-0005-0000-0000-000086010000}"/>
    <cellStyle name="Comma 3 2 5 2" xfId="392" xr:uid="{00000000-0005-0000-0000-000087010000}"/>
    <cellStyle name="Comma 3 2 6" xfId="393" xr:uid="{00000000-0005-0000-0000-000088010000}"/>
    <cellStyle name="Comma 3 2 7" xfId="394" xr:uid="{00000000-0005-0000-0000-000089010000}"/>
    <cellStyle name="Comma 3 2 8" xfId="395" xr:uid="{00000000-0005-0000-0000-00008A010000}"/>
    <cellStyle name="Comma 3 3" xfId="396" xr:uid="{00000000-0005-0000-0000-00008B010000}"/>
    <cellStyle name="Comma 3 3 2" xfId="397" xr:uid="{00000000-0005-0000-0000-00008C010000}"/>
    <cellStyle name="Comma 3 3 3" xfId="398" xr:uid="{00000000-0005-0000-0000-00008D010000}"/>
    <cellStyle name="Comma 3 3 3 2" xfId="399" xr:uid="{00000000-0005-0000-0000-00008E010000}"/>
    <cellStyle name="Comma 3 4" xfId="400" xr:uid="{00000000-0005-0000-0000-00008F010000}"/>
    <cellStyle name="Comma 3 4 2" xfId="401" xr:uid="{00000000-0005-0000-0000-000090010000}"/>
    <cellStyle name="Comma 3 5" xfId="402" xr:uid="{00000000-0005-0000-0000-000091010000}"/>
    <cellStyle name="Comma 3 6" xfId="403" xr:uid="{00000000-0005-0000-0000-000092010000}"/>
    <cellStyle name="Comma 3 6 2" xfId="404" xr:uid="{00000000-0005-0000-0000-000093010000}"/>
    <cellStyle name="Comma 3 7" xfId="405" xr:uid="{00000000-0005-0000-0000-000094010000}"/>
    <cellStyle name="Comma 3 8" xfId="406" xr:uid="{00000000-0005-0000-0000-000095010000}"/>
    <cellStyle name="Comma 30" xfId="1931" xr:uid="{4DCE5678-AD70-46E9-93E9-798C2EE718C8}"/>
    <cellStyle name="Comma 31" xfId="1933" xr:uid="{94F32F04-3913-4953-8016-7B6928E83AD6}"/>
    <cellStyle name="Comma 4" xfId="407" xr:uid="{00000000-0005-0000-0000-000096010000}"/>
    <cellStyle name="Comma 4 2" xfId="408" xr:uid="{00000000-0005-0000-0000-000097010000}"/>
    <cellStyle name="Comma 4 2 2" xfId="409" xr:uid="{00000000-0005-0000-0000-000098010000}"/>
    <cellStyle name="Comma 4 2 3" xfId="410" xr:uid="{00000000-0005-0000-0000-000099010000}"/>
    <cellStyle name="Comma 4 3" xfId="411" xr:uid="{00000000-0005-0000-0000-00009A010000}"/>
    <cellStyle name="Comma 4 3 2" xfId="412" xr:uid="{00000000-0005-0000-0000-00009B010000}"/>
    <cellStyle name="Comma 4 3 2 2" xfId="413" xr:uid="{00000000-0005-0000-0000-00009C010000}"/>
    <cellStyle name="Comma 4 3 2 2 2" xfId="414" xr:uid="{00000000-0005-0000-0000-00009D010000}"/>
    <cellStyle name="Comma 4 3 2 3" xfId="415" xr:uid="{00000000-0005-0000-0000-00009E010000}"/>
    <cellStyle name="Comma 4 3 3" xfId="416" xr:uid="{00000000-0005-0000-0000-00009F010000}"/>
    <cellStyle name="Comma 4 4" xfId="417" xr:uid="{00000000-0005-0000-0000-0000A0010000}"/>
    <cellStyle name="Comma 4 5" xfId="418" xr:uid="{00000000-0005-0000-0000-0000A1010000}"/>
    <cellStyle name="Comma 4 5 2" xfId="419" xr:uid="{00000000-0005-0000-0000-0000A2010000}"/>
    <cellStyle name="Comma 4 6" xfId="420" xr:uid="{00000000-0005-0000-0000-0000A3010000}"/>
    <cellStyle name="Comma 5" xfId="421" xr:uid="{00000000-0005-0000-0000-0000A4010000}"/>
    <cellStyle name="Comma 5 2" xfId="422" xr:uid="{00000000-0005-0000-0000-0000A5010000}"/>
    <cellStyle name="Comma 5 2 2" xfId="423" xr:uid="{00000000-0005-0000-0000-0000A6010000}"/>
    <cellStyle name="Comma 5 2 2 2" xfId="424" xr:uid="{00000000-0005-0000-0000-0000A7010000}"/>
    <cellStyle name="Comma 5 2 3" xfId="425" xr:uid="{00000000-0005-0000-0000-0000A8010000}"/>
    <cellStyle name="Comma 5 2 4" xfId="426" xr:uid="{00000000-0005-0000-0000-0000A9010000}"/>
    <cellStyle name="Comma 5 3" xfId="427" xr:uid="{00000000-0005-0000-0000-0000AA010000}"/>
    <cellStyle name="Comma 5 3 2" xfId="428" xr:uid="{00000000-0005-0000-0000-0000AB010000}"/>
    <cellStyle name="Comma 5 3 3" xfId="429" xr:uid="{00000000-0005-0000-0000-0000AC010000}"/>
    <cellStyle name="Comma 5 4" xfId="430" xr:uid="{00000000-0005-0000-0000-0000AD010000}"/>
    <cellStyle name="Comma 5 5" xfId="431" xr:uid="{00000000-0005-0000-0000-0000AE010000}"/>
    <cellStyle name="Comma 5 5 2" xfId="432" xr:uid="{00000000-0005-0000-0000-0000AF010000}"/>
    <cellStyle name="Comma 5 6" xfId="433" xr:uid="{00000000-0005-0000-0000-0000B0010000}"/>
    <cellStyle name="Comma 6" xfId="434" xr:uid="{00000000-0005-0000-0000-0000B1010000}"/>
    <cellStyle name="Comma 6 2" xfId="435" xr:uid="{00000000-0005-0000-0000-0000B2010000}"/>
    <cellStyle name="Comma 6 2 2" xfId="436" xr:uid="{00000000-0005-0000-0000-0000B3010000}"/>
    <cellStyle name="Comma 6 2 2 2" xfId="437" xr:uid="{00000000-0005-0000-0000-0000B4010000}"/>
    <cellStyle name="Comma 6 2 3" xfId="438" xr:uid="{00000000-0005-0000-0000-0000B5010000}"/>
    <cellStyle name="Comma 6 2 4" xfId="439" xr:uid="{00000000-0005-0000-0000-0000B6010000}"/>
    <cellStyle name="Comma 6 2 5" xfId="440" xr:uid="{00000000-0005-0000-0000-0000B7010000}"/>
    <cellStyle name="Comma 6 3" xfId="441" xr:uid="{00000000-0005-0000-0000-0000B8010000}"/>
    <cellStyle name="Comma 6 3 2" xfId="442" xr:uid="{00000000-0005-0000-0000-0000B9010000}"/>
    <cellStyle name="Comma 6 3 2 2" xfId="443" xr:uid="{00000000-0005-0000-0000-0000BA010000}"/>
    <cellStyle name="Comma 6 4" xfId="444" xr:uid="{00000000-0005-0000-0000-0000BB010000}"/>
    <cellStyle name="Comma 6 5" xfId="445" xr:uid="{00000000-0005-0000-0000-0000BC010000}"/>
    <cellStyle name="Comma 6 5 2" xfId="446" xr:uid="{00000000-0005-0000-0000-0000BD010000}"/>
    <cellStyle name="Comma 6 6" xfId="447" xr:uid="{00000000-0005-0000-0000-0000BE010000}"/>
    <cellStyle name="Comma 6 7" xfId="448" xr:uid="{00000000-0005-0000-0000-0000BF010000}"/>
    <cellStyle name="Comma 6 8" xfId="449" xr:uid="{00000000-0005-0000-0000-0000C0010000}"/>
    <cellStyle name="Comma 6 9" xfId="450" xr:uid="{00000000-0005-0000-0000-0000C1010000}"/>
    <cellStyle name="Comma 7" xfId="451" xr:uid="{00000000-0005-0000-0000-0000C2010000}"/>
    <cellStyle name="Comma 7 2" xfId="452" xr:uid="{00000000-0005-0000-0000-0000C3010000}"/>
    <cellStyle name="Comma 7 2 2" xfId="453" xr:uid="{00000000-0005-0000-0000-0000C4010000}"/>
    <cellStyle name="Comma 7 3" xfId="454" xr:uid="{00000000-0005-0000-0000-0000C5010000}"/>
    <cellStyle name="Comma 7 4" xfId="455" xr:uid="{00000000-0005-0000-0000-0000C6010000}"/>
    <cellStyle name="Comma 8" xfId="456" xr:uid="{00000000-0005-0000-0000-0000C7010000}"/>
    <cellStyle name="Comma 8 2" xfId="457" xr:uid="{00000000-0005-0000-0000-0000C8010000}"/>
    <cellStyle name="Comma 8 2 2" xfId="458" xr:uid="{00000000-0005-0000-0000-0000C9010000}"/>
    <cellStyle name="Comma 8 2 2 2" xfId="459" xr:uid="{00000000-0005-0000-0000-0000CA010000}"/>
    <cellStyle name="Comma 8 2 2 2 2" xfId="460" xr:uid="{00000000-0005-0000-0000-0000CB010000}"/>
    <cellStyle name="Comma 8 2 2 2 2 2" xfId="461" xr:uid="{00000000-0005-0000-0000-0000CC010000}"/>
    <cellStyle name="Comma 8 2 2 2 3" xfId="462" xr:uid="{00000000-0005-0000-0000-0000CD010000}"/>
    <cellStyle name="Comma 8 2 2 3" xfId="463" xr:uid="{00000000-0005-0000-0000-0000CE010000}"/>
    <cellStyle name="Comma 8 2 2 3 2" xfId="464" xr:uid="{00000000-0005-0000-0000-0000CF010000}"/>
    <cellStyle name="Comma 8 2 2 4" xfId="465" xr:uid="{00000000-0005-0000-0000-0000D0010000}"/>
    <cellStyle name="Comma 8 2 2 4 2" xfId="466" xr:uid="{00000000-0005-0000-0000-0000D1010000}"/>
    <cellStyle name="Comma 8 2 2 5" xfId="467" xr:uid="{00000000-0005-0000-0000-0000D2010000}"/>
    <cellStyle name="Comma 8 2 3" xfId="468" xr:uid="{00000000-0005-0000-0000-0000D3010000}"/>
    <cellStyle name="Comma 8 2 3 2" xfId="469" xr:uid="{00000000-0005-0000-0000-0000D4010000}"/>
    <cellStyle name="Comma 8 2 3 2 2" xfId="470" xr:uid="{00000000-0005-0000-0000-0000D5010000}"/>
    <cellStyle name="Comma 8 2 3 3" xfId="471" xr:uid="{00000000-0005-0000-0000-0000D6010000}"/>
    <cellStyle name="Comma 8 2 3 3 2" xfId="472" xr:uid="{00000000-0005-0000-0000-0000D7010000}"/>
    <cellStyle name="Comma 8 2 3 4" xfId="473" xr:uid="{00000000-0005-0000-0000-0000D8010000}"/>
    <cellStyle name="Comma 8 2 4" xfId="474" xr:uid="{00000000-0005-0000-0000-0000D9010000}"/>
    <cellStyle name="Comma 8 2 4 2" xfId="475" xr:uid="{00000000-0005-0000-0000-0000DA010000}"/>
    <cellStyle name="Comma 8 2 4 2 2" xfId="476" xr:uid="{00000000-0005-0000-0000-0000DB010000}"/>
    <cellStyle name="Comma 8 2 4 3" xfId="477" xr:uid="{00000000-0005-0000-0000-0000DC010000}"/>
    <cellStyle name="Comma 8 2 5" xfId="478" xr:uid="{00000000-0005-0000-0000-0000DD010000}"/>
    <cellStyle name="Comma 8 2 5 2" xfId="479" xr:uid="{00000000-0005-0000-0000-0000DE010000}"/>
    <cellStyle name="Comma 8 2 5 2 2" xfId="480" xr:uid="{00000000-0005-0000-0000-0000DF010000}"/>
    <cellStyle name="Comma 8 2 5 3" xfId="481" xr:uid="{00000000-0005-0000-0000-0000E0010000}"/>
    <cellStyle name="Comma 8 2 6" xfId="482" xr:uid="{00000000-0005-0000-0000-0000E1010000}"/>
    <cellStyle name="Comma 8 2 6 2" xfId="483" xr:uid="{00000000-0005-0000-0000-0000E2010000}"/>
    <cellStyle name="Comma 8 2 7" xfId="484" xr:uid="{00000000-0005-0000-0000-0000E3010000}"/>
    <cellStyle name="Comma 8 2 7 2" xfId="485" xr:uid="{00000000-0005-0000-0000-0000E4010000}"/>
    <cellStyle name="Comma 8 2 8" xfId="486" xr:uid="{00000000-0005-0000-0000-0000E5010000}"/>
    <cellStyle name="Comma 8 3" xfId="487" xr:uid="{00000000-0005-0000-0000-0000E6010000}"/>
    <cellStyle name="Comma 8 3 2" xfId="488" xr:uid="{00000000-0005-0000-0000-0000E7010000}"/>
    <cellStyle name="Comma 8 3 2 2" xfId="489" xr:uid="{00000000-0005-0000-0000-0000E8010000}"/>
    <cellStyle name="Comma 8 3 2 2 2" xfId="490" xr:uid="{00000000-0005-0000-0000-0000E9010000}"/>
    <cellStyle name="Comma 8 3 2 2 2 2" xfId="491" xr:uid="{00000000-0005-0000-0000-0000EA010000}"/>
    <cellStyle name="Comma 8 3 2 2 3" xfId="492" xr:uid="{00000000-0005-0000-0000-0000EB010000}"/>
    <cellStyle name="Comma 8 3 2 3" xfId="493" xr:uid="{00000000-0005-0000-0000-0000EC010000}"/>
    <cellStyle name="Comma 8 3 2 3 2" xfId="494" xr:uid="{00000000-0005-0000-0000-0000ED010000}"/>
    <cellStyle name="Comma 8 3 2 4" xfId="495" xr:uid="{00000000-0005-0000-0000-0000EE010000}"/>
    <cellStyle name="Comma 8 3 2 4 2" xfId="496" xr:uid="{00000000-0005-0000-0000-0000EF010000}"/>
    <cellStyle name="Comma 8 3 2 5" xfId="497" xr:uid="{00000000-0005-0000-0000-0000F0010000}"/>
    <cellStyle name="Comma 8 3 3" xfId="498" xr:uid="{00000000-0005-0000-0000-0000F1010000}"/>
    <cellStyle name="Comma 8 3 3 2" xfId="499" xr:uid="{00000000-0005-0000-0000-0000F2010000}"/>
    <cellStyle name="Comma 8 3 3 2 2" xfId="500" xr:uid="{00000000-0005-0000-0000-0000F3010000}"/>
    <cellStyle name="Comma 8 3 3 3" xfId="501" xr:uid="{00000000-0005-0000-0000-0000F4010000}"/>
    <cellStyle name="Comma 8 3 3 3 2" xfId="502" xr:uid="{00000000-0005-0000-0000-0000F5010000}"/>
    <cellStyle name="Comma 8 3 3 4" xfId="503" xr:uid="{00000000-0005-0000-0000-0000F6010000}"/>
    <cellStyle name="Comma 8 3 4" xfId="504" xr:uid="{00000000-0005-0000-0000-0000F7010000}"/>
    <cellStyle name="Comma 8 3 4 2" xfId="505" xr:uid="{00000000-0005-0000-0000-0000F8010000}"/>
    <cellStyle name="Comma 8 3 4 2 2" xfId="506" xr:uid="{00000000-0005-0000-0000-0000F9010000}"/>
    <cellStyle name="Comma 8 3 4 3" xfId="507" xr:uid="{00000000-0005-0000-0000-0000FA010000}"/>
    <cellStyle name="Comma 8 3 5" xfId="508" xr:uid="{00000000-0005-0000-0000-0000FB010000}"/>
    <cellStyle name="Comma 8 3 5 2" xfId="509" xr:uid="{00000000-0005-0000-0000-0000FC010000}"/>
    <cellStyle name="Comma 8 3 6" xfId="510" xr:uid="{00000000-0005-0000-0000-0000FD010000}"/>
    <cellStyle name="Comma 8 3 6 2" xfId="511" xr:uid="{00000000-0005-0000-0000-0000FE010000}"/>
    <cellStyle name="Comma 8 3 7" xfId="512" xr:uid="{00000000-0005-0000-0000-0000FF010000}"/>
    <cellStyle name="Comma 8 4" xfId="513" xr:uid="{00000000-0005-0000-0000-000000020000}"/>
    <cellStyle name="Comma 8 4 2" xfId="514" xr:uid="{00000000-0005-0000-0000-000001020000}"/>
    <cellStyle name="Comma 8 4 2 2" xfId="515" xr:uid="{00000000-0005-0000-0000-000002020000}"/>
    <cellStyle name="Comma 8 4 2 2 2" xfId="516" xr:uid="{00000000-0005-0000-0000-000003020000}"/>
    <cellStyle name="Comma 8 4 2 3" xfId="517" xr:uid="{00000000-0005-0000-0000-000004020000}"/>
    <cellStyle name="Comma 8 4 3" xfId="518" xr:uid="{00000000-0005-0000-0000-000005020000}"/>
    <cellStyle name="Comma 8 4 3 2" xfId="519" xr:uid="{00000000-0005-0000-0000-000006020000}"/>
    <cellStyle name="Comma 8 4 4" xfId="520" xr:uid="{00000000-0005-0000-0000-000007020000}"/>
    <cellStyle name="Comma 8 4 4 2" xfId="521" xr:uid="{00000000-0005-0000-0000-000008020000}"/>
    <cellStyle name="Comma 8 4 5" xfId="522" xr:uid="{00000000-0005-0000-0000-000009020000}"/>
    <cellStyle name="Comma 8 5" xfId="523" xr:uid="{00000000-0005-0000-0000-00000A020000}"/>
    <cellStyle name="Comma 8 5 2" xfId="524" xr:uid="{00000000-0005-0000-0000-00000B020000}"/>
    <cellStyle name="Comma 8 5 2 2" xfId="525" xr:uid="{00000000-0005-0000-0000-00000C020000}"/>
    <cellStyle name="Comma 8 5 3" xfId="526" xr:uid="{00000000-0005-0000-0000-00000D020000}"/>
    <cellStyle name="Comma 8 5 3 2" xfId="527" xr:uid="{00000000-0005-0000-0000-00000E020000}"/>
    <cellStyle name="Comma 8 5 4" xfId="528" xr:uid="{00000000-0005-0000-0000-00000F020000}"/>
    <cellStyle name="Comma 8 6" xfId="529" xr:uid="{00000000-0005-0000-0000-000010020000}"/>
    <cellStyle name="Comma 9" xfId="530" xr:uid="{00000000-0005-0000-0000-000011020000}"/>
    <cellStyle name="Comma 9 2" xfId="531" xr:uid="{00000000-0005-0000-0000-000012020000}"/>
    <cellStyle name="Comma 9 2 2" xfId="532" xr:uid="{00000000-0005-0000-0000-000013020000}"/>
    <cellStyle name="Comma 9 3" xfId="533" xr:uid="{00000000-0005-0000-0000-000014020000}"/>
    <cellStyle name="Comma 9 3 2" xfId="534" xr:uid="{00000000-0005-0000-0000-000015020000}"/>
    <cellStyle name="Comma 9 3 2 2" xfId="535" xr:uid="{00000000-0005-0000-0000-000016020000}"/>
    <cellStyle name="Comma 9 3 3" xfId="536" xr:uid="{00000000-0005-0000-0000-000017020000}"/>
    <cellStyle name="Comma 9 4" xfId="537" xr:uid="{00000000-0005-0000-0000-000018020000}"/>
    <cellStyle name="Comma 9 4 2" xfId="538" xr:uid="{00000000-0005-0000-0000-000019020000}"/>
    <cellStyle name="Comma 9 4 2 2" xfId="539" xr:uid="{00000000-0005-0000-0000-00001A020000}"/>
    <cellStyle name="Comma 9 4 3" xfId="540" xr:uid="{00000000-0005-0000-0000-00001B020000}"/>
    <cellStyle name="Comma 9 5" xfId="541" xr:uid="{00000000-0005-0000-0000-00001C020000}"/>
    <cellStyle name="Comma 9 5 2" xfId="542" xr:uid="{00000000-0005-0000-0000-00001D020000}"/>
    <cellStyle name="Comma 9 6" xfId="543" xr:uid="{00000000-0005-0000-0000-00001E020000}"/>
    <cellStyle name="Comma 9 6 2" xfId="544" xr:uid="{00000000-0005-0000-0000-00001F020000}"/>
    <cellStyle name="Comma 9 7" xfId="545" xr:uid="{00000000-0005-0000-0000-000020020000}"/>
    <cellStyle name="Comma0" xfId="546" xr:uid="{00000000-0005-0000-0000-000021020000}"/>
    <cellStyle name="Comma0 2" xfId="547" xr:uid="{00000000-0005-0000-0000-000022020000}"/>
    <cellStyle name="Comma0 2 2" xfId="548" xr:uid="{00000000-0005-0000-0000-000023020000}"/>
    <cellStyle name="Comma0 2 3" xfId="549" xr:uid="{00000000-0005-0000-0000-000024020000}"/>
    <cellStyle name="Comma0 2 4" xfId="550" xr:uid="{00000000-0005-0000-0000-000025020000}"/>
    <cellStyle name="Comma0 3" xfId="551" xr:uid="{00000000-0005-0000-0000-000026020000}"/>
    <cellStyle name="Company Name" xfId="552" xr:uid="{00000000-0005-0000-0000-000027020000}"/>
    <cellStyle name="Currency" xfId="553" builtinId="4"/>
    <cellStyle name="Currency 0.00" xfId="554" xr:uid="{00000000-0005-0000-0000-000029020000}"/>
    <cellStyle name="Currency 10" xfId="555" xr:uid="{00000000-0005-0000-0000-00002A020000}"/>
    <cellStyle name="Currency 10 2" xfId="556" xr:uid="{00000000-0005-0000-0000-00002B020000}"/>
    <cellStyle name="Currency 11" xfId="557" xr:uid="{00000000-0005-0000-0000-00002C020000}"/>
    <cellStyle name="Currency 11 2" xfId="558" xr:uid="{00000000-0005-0000-0000-00002D020000}"/>
    <cellStyle name="Currency 12" xfId="559" xr:uid="{00000000-0005-0000-0000-00002E020000}"/>
    <cellStyle name="Currency 13" xfId="560" xr:uid="{00000000-0005-0000-0000-00002F020000}"/>
    <cellStyle name="Currency 13 2" xfId="561" xr:uid="{00000000-0005-0000-0000-000030020000}"/>
    <cellStyle name="Currency 14" xfId="562" xr:uid="{00000000-0005-0000-0000-000031020000}"/>
    <cellStyle name="Currency 15" xfId="563" xr:uid="{00000000-0005-0000-0000-000032020000}"/>
    <cellStyle name="Currency 16" xfId="564" xr:uid="{00000000-0005-0000-0000-000033020000}"/>
    <cellStyle name="Currency 17" xfId="565" xr:uid="{00000000-0005-0000-0000-000034020000}"/>
    <cellStyle name="Currency 18" xfId="566" xr:uid="{00000000-0005-0000-0000-000035020000}"/>
    <cellStyle name="Currency 2" xfId="567" xr:uid="{00000000-0005-0000-0000-000036020000}"/>
    <cellStyle name="Currency 2 10" xfId="568" xr:uid="{00000000-0005-0000-0000-000037020000}"/>
    <cellStyle name="Currency 2 10 2" xfId="569" xr:uid="{00000000-0005-0000-0000-000038020000}"/>
    <cellStyle name="Currency 2 11" xfId="570" xr:uid="{00000000-0005-0000-0000-000039020000}"/>
    <cellStyle name="Currency 2 12" xfId="571" xr:uid="{00000000-0005-0000-0000-00003A020000}"/>
    <cellStyle name="Currency 2 12 2" xfId="572" xr:uid="{00000000-0005-0000-0000-00003B020000}"/>
    <cellStyle name="Currency 2 2" xfId="573" xr:uid="{00000000-0005-0000-0000-00003C020000}"/>
    <cellStyle name="Currency 2 2 2" xfId="574" xr:uid="{00000000-0005-0000-0000-00003D020000}"/>
    <cellStyle name="Currency 2 2 3" xfId="575" xr:uid="{00000000-0005-0000-0000-00003E020000}"/>
    <cellStyle name="Currency 2 2 3 2" xfId="576" xr:uid="{00000000-0005-0000-0000-00003F020000}"/>
    <cellStyle name="Currency 2 3" xfId="577" xr:uid="{00000000-0005-0000-0000-000040020000}"/>
    <cellStyle name="Currency 2 3 2" xfId="578" xr:uid="{00000000-0005-0000-0000-000041020000}"/>
    <cellStyle name="Currency 2 3 3" xfId="579" xr:uid="{00000000-0005-0000-0000-000042020000}"/>
    <cellStyle name="Currency 2 3 3 2" xfId="580" xr:uid="{00000000-0005-0000-0000-000043020000}"/>
    <cellStyle name="Currency 2 4" xfId="581" xr:uid="{00000000-0005-0000-0000-000044020000}"/>
    <cellStyle name="Currency 2 4 2" xfId="582" xr:uid="{00000000-0005-0000-0000-000045020000}"/>
    <cellStyle name="Currency 2 5" xfId="583" xr:uid="{00000000-0005-0000-0000-000046020000}"/>
    <cellStyle name="Currency 2 5 2" xfId="584" xr:uid="{00000000-0005-0000-0000-000047020000}"/>
    <cellStyle name="Currency 2 6" xfId="585" xr:uid="{00000000-0005-0000-0000-000048020000}"/>
    <cellStyle name="Currency 2 7" xfId="586" xr:uid="{00000000-0005-0000-0000-000049020000}"/>
    <cellStyle name="Currency 2 8" xfId="587" xr:uid="{00000000-0005-0000-0000-00004A020000}"/>
    <cellStyle name="Currency 2 8 2" xfId="588" xr:uid="{00000000-0005-0000-0000-00004B020000}"/>
    <cellStyle name="Currency 2 9" xfId="589" xr:uid="{00000000-0005-0000-0000-00004C020000}"/>
    <cellStyle name="Currency 2 9 2" xfId="590" xr:uid="{00000000-0005-0000-0000-00004D020000}"/>
    <cellStyle name="Currency 3" xfId="591" xr:uid="{00000000-0005-0000-0000-00004E020000}"/>
    <cellStyle name="Currency 3 2" xfId="592" xr:uid="{00000000-0005-0000-0000-00004F020000}"/>
    <cellStyle name="Currency 3 2 2" xfId="593" xr:uid="{00000000-0005-0000-0000-000050020000}"/>
    <cellStyle name="Currency 3 2 2 2" xfId="594" xr:uid="{00000000-0005-0000-0000-000051020000}"/>
    <cellStyle name="Currency 3 2 3" xfId="595" xr:uid="{00000000-0005-0000-0000-000052020000}"/>
    <cellStyle name="Currency 3 2 3 2" xfId="596" xr:uid="{00000000-0005-0000-0000-000053020000}"/>
    <cellStyle name="Currency 3 2 4" xfId="597" xr:uid="{00000000-0005-0000-0000-000054020000}"/>
    <cellStyle name="Currency 3 2 5" xfId="598" xr:uid="{00000000-0005-0000-0000-000055020000}"/>
    <cellStyle name="Currency 3 2 5 2" xfId="599" xr:uid="{00000000-0005-0000-0000-000056020000}"/>
    <cellStyle name="Currency 3 2 6" xfId="1923" xr:uid="{4FA9A47E-07B0-4D86-A66E-6B14AB9F9AB5}"/>
    <cellStyle name="Currency 3 3" xfId="600" xr:uid="{00000000-0005-0000-0000-000057020000}"/>
    <cellStyle name="Currency 3 3 2" xfId="601" xr:uid="{00000000-0005-0000-0000-000058020000}"/>
    <cellStyle name="Currency 3 3 3" xfId="602" xr:uid="{00000000-0005-0000-0000-000059020000}"/>
    <cellStyle name="Currency 3 3 3 2" xfId="603" xr:uid="{00000000-0005-0000-0000-00005A020000}"/>
    <cellStyle name="Currency 3 3 4" xfId="1924" xr:uid="{59CAB0A0-343E-4471-9EFB-0E92C959EEE3}"/>
    <cellStyle name="Currency 3 4" xfId="604" xr:uid="{00000000-0005-0000-0000-00005B020000}"/>
    <cellStyle name="Currency 3 5" xfId="605" xr:uid="{00000000-0005-0000-0000-00005C020000}"/>
    <cellStyle name="Currency 3 5 2" xfId="606" xr:uid="{00000000-0005-0000-0000-00005D020000}"/>
    <cellStyle name="Currency 3 6" xfId="1922" xr:uid="{F2E94328-E056-4E64-900D-56231FD29569}"/>
    <cellStyle name="Currency 4" xfId="607" xr:uid="{00000000-0005-0000-0000-00005E020000}"/>
    <cellStyle name="Currency 4 2" xfId="608" xr:uid="{00000000-0005-0000-0000-00005F020000}"/>
    <cellStyle name="Currency 4 2 2" xfId="609" xr:uid="{00000000-0005-0000-0000-000060020000}"/>
    <cellStyle name="Currency 4 3" xfId="610" xr:uid="{00000000-0005-0000-0000-000061020000}"/>
    <cellStyle name="Currency 4 3 2" xfId="611" xr:uid="{00000000-0005-0000-0000-000062020000}"/>
    <cellStyle name="Currency 4 4" xfId="612" xr:uid="{00000000-0005-0000-0000-000063020000}"/>
    <cellStyle name="Currency 5" xfId="613" xr:uid="{00000000-0005-0000-0000-000064020000}"/>
    <cellStyle name="Currency 5 2" xfId="614" xr:uid="{00000000-0005-0000-0000-000065020000}"/>
    <cellStyle name="Currency 5 2 2" xfId="615" xr:uid="{00000000-0005-0000-0000-000066020000}"/>
    <cellStyle name="Currency 5 2 3" xfId="616" xr:uid="{00000000-0005-0000-0000-000067020000}"/>
    <cellStyle name="Currency 5 3" xfId="617" xr:uid="{00000000-0005-0000-0000-000068020000}"/>
    <cellStyle name="Currency 5 3 2" xfId="618" xr:uid="{00000000-0005-0000-0000-000069020000}"/>
    <cellStyle name="Currency 5 3 3" xfId="619" xr:uid="{00000000-0005-0000-0000-00006A020000}"/>
    <cellStyle name="Currency 5 4" xfId="620" xr:uid="{00000000-0005-0000-0000-00006B020000}"/>
    <cellStyle name="Currency 5 5" xfId="621" xr:uid="{00000000-0005-0000-0000-00006C020000}"/>
    <cellStyle name="Currency 5 5 2" xfId="622" xr:uid="{00000000-0005-0000-0000-00006D020000}"/>
    <cellStyle name="Currency 6" xfId="623" xr:uid="{00000000-0005-0000-0000-00006E020000}"/>
    <cellStyle name="Currency 6 2" xfId="624" xr:uid="{00000000-0005-0000-0000-00006F020000}"/>
    <cellStyle name="Currency 6 2 2" xfId="625" xr:uid="{00000000-0005-0000-0000-000070020000}"/>
    <cellStyle name="Currency 6 2 2 2" xfId="626" xr:uid="{00000000-0005-0000-0000-000071020000}"/>
    <cellStyle name="Currency 6 3" xfId="627" xr:uid="{00000000-0005-0000-0000-000072020000}"/>
    <cellStyle name="Currency 6 3 2" xfId="628" xr:uid="{00000000-0005-0000-0000-000073020000}"/>
    <cellStyle name="Currency 6 3 2 2" xfId="629" xr:uid="{00000000-0005-0000-0000-000074020000}"/>
    <cellStyle name="Currency 6 4" xfId="630" xr:uid="{00000000-0005-0000-0000-000075020000}"/>
    <cellStyle name="Currency 6 4 2" xfId="631" xr:uid="{00000000-0005-0000-0000-000076020000}"/>
    <cellStyle name="Currency 6 4 2 2" xfId="632" xr:uid="{00000000-0005-0000-0000-000077020000}"/>
    <cellStyle name="Currency 6 5" xfId="633" xr:uid="{00000000-0005-0000-0000-000078020000}"/>
    <cellStyle name="Currency 6 5 2" xfId="634" xr:uid="{00000000-0005-0000-0000-000079020000}"/>
    <cellStyle name="Currency 7" xfId="635" xr:uid="{00000000-0005-0000-0000-00007A020000}"/>
    <cellStyle name="Currency 7 2" xfId="636" xr:uid="{00000000-0005-0000-0000-00007B020000}"/>
    <cellStyle name="Currency 7 2 2" xfId="637" xr:uid="{00000000-0005-0000-0000-00007C020000}"/>
    <cellStyle name="Currency 7 2 3" xfId="638" xr:uid="{00000000-0005-0000-0000-00007D020000}"/>
    <cellStyle name="Currency 7 2 4" xfId="639" xr:uid="{00000000-0005-0000-0000-00007E020000}"/>
    <cellStyle name="Currency 7 3" xfId="640" xr:uid="{00000000-0005-0000-0000-00007F020000}"/>
    <cellStyle name="Currency 7 4" xfId="641" xr:uid="{00000000-0005-0000-0000-000080020000}"/>
    <cellStyle name="Currency 7 5" xfId="642" xr:uid="{00000000-0005-0000-0000-000081020000}"/>
    <cellStyle name="Currency 7 6" xfId="643" xr:uid="{00000000-0005-0000-0000-000082020000}"/>
    <cellStyle name="Currency 8" xfId="644" xr:uid="{00000000-0005-0000-0000-000083020000}"/>
    <cellStyle name="Currency 8 2" xfId="645" xr:uid="{00000000-0005-0000-0000-000084020000}"/>
    <cellStyle name="Currency 9" xfId="646" xr:uid="{00000000-0005-0000-0000-000085020000}"/>
    <cellStyle name="Currency 9 2" xfId="647" xr:uid="{00000000-0005-0000-0000-000086020000}"/>
    <cellStyle name="Currency 9 2 2" xfId="648" xr:uid="{00000000-0005-0000-0000-000087020000}"/>
    <cellStyle name="Currency0" xfId="649" xr:uid="{00000000-0005-0000-0000-000088020000}"/>
    <cellStyle name="Currency0 2" xfId="650" xr:uid="{00000000-0005-0000-0000-000089020000}"/>
    <cellStyle name="Currency0 2 2" xfId="651" xr:uid="{00000000-0005-0000-0000-00008A020000}"/>
    <cellStyle name="Currency0 2 3" xfId="652" xr:uid="{00000000-0005-0000-0000-00008B020000}"/>
    <cellStyle name="Currency0 2 4" xfId="653" xr:uid="{00000000-0005-0000-0000-00008C020000}"/>
    <cellStyle name="Currency0 3" xfId="654" xr:uid="{00000000-0005-0000-0000-00008D020000}"/>
    <cellStyle name="Date" xfId="655" xr:uid="{00000000-0005-0000-0000-00008E020000}"/>
    <cellStyle name="Date 2" xfId="656" xr:uid="{00000000-0005-0000-0000-00008F020000}"/>
    <cellStyle name="Date 2 2" xfId="657" xr:uid="{00000000-0005-0000-0000-000090020000}"/>
    <cellStyle name="Date 2 3" xfId="658" xr:uid="{00000000-0005-0000-0000-000091020000}"/>
    <cellStyle name="Date 2 4" xfId="659" xr:uid="{00000000-0005-0000-0000-000092020000}"/>
    <cellStyle name="Date 3" xfId="660" xr:uid="{00000000-0005-0000-0000-000093020000}"/>
    <cellStyle name="Explanatory Text" xfId="661" builtinId="53" customBuiltin="1"/>
    <cellStyle name="Explanatory Text 2" xfId="662" xr:uid="{00000000-0005-0000-0000-000095020000}"/>
    <cellStyle name="Fixed" xfId="663" xr:uid="{00000000-0005-0000-0000-000096020000}"/>
    <cellStyle name="Fixed 2" xfId="664" xr:uid="{00000000-0005-0000-0000-000097020000}"/>
    <cellStyle name="Fixed 2 2" xfId="665" xr:uid="{00000000-0005-0000-0000-000098020000}"/>
    <cellStyle name="Fixed 2 3" xfId="666" xr:uid="{00000000-0005-0000-0000-000099020000}"/>
    <cellStyle name="Fixed 2 4" xfId="667" xr:uid="{00000000-0005-0000-0000-00009A020000}"/>
    <cellStyle name="Fixed 3" xfId="668" xr:uid="{00000000-0005-0000-0000-00009B020000}"/>
    <cellStyle name="Followed Hyperlink 2" xfId="669" xr:uid="{00000000-0005-0000-0000-00009C020000}"/>
    <cellStyle name="FONT" xfId="670" xr:uid="{00000000-0005-0000-0000-00009D020000}"/>
    <cellStyle name="FundHeaderRowCol.*" xfId="671" xr:uid="{00000000-0005-0000-0000-00009E020000}"/>
    <cellStyle name="FundHeaderRowCol.1" xfId="672" xr:uid="{00000000-0005-0000-0000-00009F020000}"/>
    <cellStyle name="FundHeaderRowCol.2" xfId="673" xr:uid="{00000000-0005-0000-0000-0000A0020000}"/>
    <cellStyle name="FundHeaderRowCol.Desc" xfId="674" xr:uid="{00000000-0005-0000-0000-0000A1020000}"/>
    <cellStyle name="FundSectionHeaderRowDescCol" xfId="675" xr:uid="{00000000-0005-0000-0000-0000A2020000}"/>
    <cellStyle name="FundSectionHeaderRowJERefCol" xfId="676" xr:uid="{00000000-0005-0000-0000-0000A3020000}"/>
    <cellStyle name="FundSectionHeaderRowNameCol" xfId="677" xr:uid="{00000000-0005-0000-0000-0000A4020000}"/>
    <cellStyle name="Good" xfId="678" builtinId="26" customBuiltin="1"/>
    <cellStyle name="Good 2" xfId="679" xr:uid="{00000000-0005-0000-0000-0000A6020000}"/>
    <cellStyle name="Good 2 2" xfId="680" xr:uid="{00000000-0005-0000-0000-0000A7020000}"/>
    <cellStyle name="Good 2 3" xfId="681" xr:uid="{00000000-0005-0000-0000-0000A8020000}"/>
    <cellStyle name="Good 2 4" xfId="682" xr:uid="{00000000-0005-0000-0000-0000A9020000}"/>
    <cellStyle name="Good 2 5" xfId="683" xr:uid="{00000000-0005-0000-0000-0000AA020000}"/>
    <cellStyle name="GroupSectionHeaderRowBalance" xfId="684" xr:uid="{00000000-0005-0000-0000-0000AB020000}"/>
    <cellStyle name="GroupSectionHeaderRowDescCol" xfId="685" xr:uid="{00000000-0005-0000-0000-0000AC020000}"/>
    <cellStyle name="GroupSectionHeaderRowNameCol" xfId="686" xr:uid="{00000000-0005-0000-0000-0000AD020000}"/>
    <cellStyle name="GroupSelectionHeaderRowJERefCol" xfId="687" xr:uid="{00000000-0005-0000-0000-0000AE020000}"/>
    <cellStyle name="heading" xfId="688" xr:uid="{00000000-0005-0000-0000-0000AF020000}"/>
    <cellStyle name="Heading 1" xfId="689" builtinId="16" customBuiltin="1"/>
    <cellStyle name="Heading 1 2" xfId="690" xr:uid="{00000000-0005-0000-0000-0000B1020000}"/>
    <cellStyle name="Heading 1 2 2" xfId="691" xr:uid="{00000000-0005-0000-0000-0000B2020000}"/>
    <cellStyle name="Heading 1 2 3" xfId="692" xr:uid="{00000000-0005-0000-0000-0000B3020000}"/>
    <cellStyle name="Heading 1 2 4" xfId="693" xr:uid="{00000000-0005-0000-0000-0000B4020000}"/>
    <cellStyle name="Heading 1 2 5" xfId="694" xr:uid="{00000000-0005-0000-0000-0000B5020000}"/>
    <cellStyle name="Heading 1 2 6" xfId="695" xr:uid="{00000000-0005-0000-0000-0000B6020000}"/>
    <cellStyle name="Heading 1 3" xfId="696" xr:uid="{00000000-0005-0000-0000-0000B7020000}"/>
    <cellStyle name="Heading 1 3 2" xfId="697" xr:uid="{00000000-0005-0000-0000-0000B8020000}"/>
    <cellStyle name="Heading 1 3 3" xfId="698" xr:uid="{00000000-0005-0000-0000-0000B9020000}"/>
    <cellStyle name="Heading 2" xfId="699" builtinId="17" customBuiltin="1"/>
    <cellStyle name="Heading 2 2" xfId="700" xr:uid="{00000000-0005-0000-0000-0000BB020000}"/>
    <cellStyle name="Heading 2 2 2" xfId="701" xr:uid="{00000000-0005-0000-0000-0000BC020000}"/>
    <cellStyle name="Heading 2 2 3" xfId="702" xr:uid="{00000000-0005-0000-0000-0000BD020000}"/>
    <cellStyle name="Heading 2 2 4" xfId="703" xr:uid="{00000000-0005-0000-0000-0000BE020000}"/>
    <cellStyle name="Heading 2 2 5" xfId="704" xr:uid="{00000000-0005-0000-0000-0000BF020000}"/>
    <cellStyle name="Heading 2 2 6" xfId="705" xr:uid="{00000000-0005-0000-0000-0000C0020000}"/>
    <cellStyle name="Heading 2 3" xfId="706" xr:uid="{00000000-0005-0000-0000-0000C1020000}"/>
    <cellStyle name="Heading 2 3 2" xfId="707" xr:uid="{00000000-0005-0000-0000-0000C2020000}"/>
    <cellStyle name="Heading 2 3 3" xfId="708" xr:uid="{00000000-0005-0000-0000-0000C3020000}"/>
    <cellStyle name="Heading 3" xfId="709" builtinId="18" customBuiltin="1"/>
    <cellStyle name="Heading 3 2" xfId="710" xr:uid="{00000000-0005-0000-0000-0000C5020000}"/>
    <cellStyle name="Heading 3 2 2" xfId="711" xr:uid="{00000000-0005-0000-0000-0000C6020000}"/>
    <cellStyle name="Heading 3 2 3" xfId="712" xr:uid="{00000000-0005-0000-0000-0000C7020000}"/>
    <cellStyle name="Heading 3 2 4" xfId="713" xr:uid="{00000000-0005-0000-0000-0000C8020000}"/>
    <cellStyle name="Heading 4" xfId="714" builtinId="19" customBuiltin="1"/>
    <cellStyle name="Heading 4 2" xfId="715" xr:uid="{00000000-0005-0000-0000-0000CA020000}"/>
    <cellStyle name="Heading 4 2 2" xfId="716" xr:uid="{00000000-0005-0000-0000-0000CB020000}"/>
    <cellStyle name="Heading 4 2 3" xfId="717" xr:uid="{00000000-0005-0000-0000-0000CC020000}"/>
    <cellStyle name="Heading 4 2 4" xfId="718" xr:uid="{00000000-0005-0000-0000-0000CD020000}"/>
    <cellStyle name="Hyperlink 2" xfId="719" xr:uid="{00000000-0005-0000-0000-0000CE020000}"/>
    <cellStyle name="Hyperlink 2 2" xfId="720" xr:uid="{00000000-0005-0000-0000-0000CF020000}"/>
    <cellStyle name="Input" xfId="721" builtinId="20" customBuiltin="1"/>
    <cellStyle name="Input 2" xfId="722" xr:uid="{00000000-0005-0000-0000-0000D1020000}"/>
    <cellStyle name="Input 2 2" xfId="723" xr:uid="{00000000-0005-0000-0000-0000D2020000}"/>
    <cellStyle name="Input 2 3" xfId="724" xr:uid="{00000000-0005-0000-0000-0000D3020000}"/>
    <cellStyle name="Input 2 4" xfId="725" xr:uid="{00000000-0005-0000-0000-0000D4020000}"/>
    <cellStyle name="JEDescriptionRowNameCol" xfId="726" xr:uid="{00000000-0005-0000-0000-0000D5020000}"/>
    <cellStyle name="JEDetailRowCreditCol" xfId="727" xr:uid="{00000000-0005-0000-0000-0000D6020000}"/>
    <cellStyle name="JEDetailRowDebitCol" xfId="728" xr:uid="{00000000-0005-0000-0000-0000D7020000}"/>
    <cellStyle name="JEDetailRowDescCol" xfId="729" xr:uid="{00000000-0005-0000-0000-0000D8020000}"/>
    <cellStyle name="JEDetailRowNameCol" xfId="730" xr:uid="{00000000-0005-0000-0000-0000D9020000}"/>
    <cellStyle name="JEDetailRowSpacerCol" xfId="731" xr:uid="{00000000-0005-0000-0000-0000DA020000}"/>
    <cellStyle name="JEDetailRowWPRefCol" xfId="732" xr:uid="{00000000-0005-0000-0000-0000DB020000}"/>
    <cellStyle name="JEFundSectionHeaderRowDescCol" xfId="733" xr:uid="{00000000-0005-0000-0000-0000DC020000}"/>
    <cellStyle name="JEFundSectionHeaderRowNameCol" xfId="734" xr:uid="{00000000-0005-0000-0000-0000DD020000}"/>
    <cellStyle name="JEIdentityRowDescCol" xfId="735" xr:uid="{00000000-0005-0000-0000-0000DE020000}"/>
    <cellStyle name="JEIdentityRowNameCol" xfId="736" xr:uid="{00000000-0005-0000-0000-0000DF020000}"/>
    <cellStyle name="JEIdentityRowSpacerCol" xfId="737" xr:uid="{00000000-0005-0000-0000-0000E0020000}"/>
    <cellStyle name="JEIdentityRowWPRefCol" xfId="738" xr:uid="{00000000-0005-0000-0000-0000E1020000}"/>
    <cellStyle name="JETotalRowCreditCol" xfId="739" xr:uid="{00000000-0005-0000-0000-0000E2020000}"/>
    <cellStyle name="JETotalRowDebitCol" xfId="740" xr:uid="{00000000-0005-0000-0000-0000E3020000}"/>
    <cellStyle name="JETotalRowDescCol" xfId="741" xr:uid="{00000000-0005-0000-0000-0000E4020000}"/>
    <cellStyle name="JETotalRowNameCol" xfId="742" xr:uid="{00000000-0005-0000-0000-0000E5020000}"/>
    <cellStyle name="JETotalRowSpacerCol" xfId="743" xr:uid="{00000000-0005-0000-0000-0000E6020000}"/>
    <cellStyle name="JETotalRowWPRefCol" xfId="744" xr:uid="{00000000-0005-0000-0000-0000E7020000}"/>
    <cellStyle name="JETypeDescriptionRowDescCol" xfId="745" xr:uid="{00000000-0005-0000-0000-0000E8020000}"/>
    <cellStyle name="JETypeDescriptionRowNameCol" xfId="746" xr:uid="{00000000-0005-0000-0000-0000E9020000}"/>
    <cellStyle name="Linked Cell" xfId="747" builtinId="24" customBuiltin="1"/>
    <cellStyle name="Linked Cell 2" xfId="748" xr:uid="{00000000-0005-0000-0000-0000EB020000}"/>
    <cellStyle name="Linked Cell 2 2" xfId="749" xr:uid="{00000000-0005-0000-0000-0000EC020000}"/>
    <cellStyle name="Linked Cell 2 3" xfId="750" xr:uid="{00000000-0005-0000-0000-0000ED020000}"/>
    <cellStyle name="Linked Cell 2 4" xfId="751" xr:uid="{00000000-0005-0000-0000-0000EE020000}"/>
    <cellStyle name="M" xfId="752" xr:uid="{00000000-0005-0000-0000-0000EF020000}"/>
    <cellStyle name="M 2" xfId="753" xr:uid="{00000000-0005-0000-0000-0000F0020000}"/>
    <cellStyle name="NetAssetsCategoryTitle" xfId="754" xr:uid="{00000000-0005-0000-0000-0000F1020000}"/>
    <cellStyle name="NetIncomeLossRowBalanceCol" xfId="755" xr:uid="{00000000-0005-0000-0000-0000F2020000}"/>
    <cellStyle name="NetIncomeLossRowDescCol" xfId="756" xr:uid="{00000000-0005-0000-0000-0000F3020000}"/>
    <cellStyle name="NetIncomeLossRowJERefCol" xfId="757" xr:uid="{00000000-0005-0000-0000-0000F4020000}"/>
    <cellStyle name="NetIncomeLossRowNameCol" xfId="758" xr:uid="{00000000-0005-0000-0000-0000F5020000}"/>
    <cellStyle name="NetIncomeLossRowSpacerCol" xfId="759" xr:uid="{00000000-0005-0000-0000-0000F6020000}"/>
    <cellStyle name="NetIncomeLossRowVarPectCol" xfId="760" xr:uid="{00000000-0005-0000-0000-0000F7020000}"/>
    <cellStyle name="NetIncomeLossRowWPRefCol" xfId="761" xr:uid="{00000000-0005-0000-0000-0000F8020000}"/>
    <cellStyle name="Neutral" xfId="762" builtinId="28" customBuiltin="1"/>
    <cellStyle name="Neutral 2" xfId="763" xr:uid="{00000000-0005-0000-0000-0000FA020000}"/>
    <cellStyle name="Neutral 2 2" xfId="764" xr:uid="{00000000-0005-0000-0000-0000FB020000}"/>
    <cellStyle name="Neutral 2 3" xfId="765" xr:uid="{00000000-0005-0000-0000-0000FC020000}"/>
    <cellStyle name="Neutral 2 4" xfId="766" xr:uid="{00000000-0005-0000-0000-0000FD020000}"/>
    <cellStyle name="NoData" xfId="767" xr:uid="{00000000-0005-0000-0000-0000FE020000}"/>
    <cellStyle name="Normal" xfId="0" builtinId="0"/>
    <cellStyle name="Normal 10" xfId="768" xr:uid="{00000000-0005-0000-0000-000000030000}"/>
    <cellStyle name="Normal 10 2" xfId="769" xr:uid="{00000000-0005-0000-0000-000001030000}"/>
    <cellStyle name="Normal 10 2 2" xfId="770" xr:uid="{00000000-0005-0000-0000-000002030000}"/>
    <cellStyle name="Normal 10 2 3" xfId="771" xr:uid="{00000000-0005-0000-0000-000003030000}"/>
    <cellStyle name="Normal 10 3" xfId="772" xr:uid="{00000000-0005-0000-0000-000004030000}"/>
    <cellStyle name="Normal 10 3 2" xfId="773" xr:uid="{00000000-0005-0000-0000-000005030000}"/>
    <cellStyle name="Normal 10 3 3" xfId="774" xr:uid="{00000000-0005-0000-0000-000006030000}"/>
    <cellStyle name="Normal 10 4" xfId="775" xr:uid="{00000000-0005-0000-0000-000007030000}"/>
    <cellStyle name="Normal 10 5" xfId="776" xr:uid="{00000000-0005-0000-0000-000008030000}"/>
    <cellStyle name="Normal 11" xfId="777" xr:uid="{00000000-0005-0000-0000-000009030000}"/>
    <cellStyle name="Normal 11 2" xfId="778" xr:uid="{00000000-0005-0000-0000-00000A030000}"/>
    <cellStyle name="Normal 11 3" xfId="779" xr:uid="{00000000-0005-0000-0000-00000B030000}"/>
    <cellStyle name="Normal 11 4" xfId="780" xr:uid="{00000000-0005-0000-0000-00000C030000}"/>
    <cellStyle name="Normal 11 5" xfId="781" xr:uid="{00000000-0005-0000-0000-00000D030000}"/>
    <cellStyle name="Normal 12" xfId="782" xr:uid="{00000000-0005-0000-0000-00000E030000}"/>
    <cellStyle name="Normal 12 2" xfId="783" xr:uid="{00000000-0005-0000-0000-00000F030000}"/>
    <cellStyle name="Normal 12 2 2" xfId="784" xr:uid="{00000000-0005-0000-0000-000010030000}"/>
    <cellStyle name="Normal 12 3" xfId="785" xr:uid="{00000000-0005-0000-0000-000011030000}"/>
    <cellStyle name="Normal 12 4" xfId="786" xr:uid="{00000000-0005-0000-0000-000012030000}"/>
    <cellStyle name="Normal 12 5" xfId="787" xr:uid="{00000000-0005-0000-0000-000013030000}"/>
    <cellStyle name="Normal 13" xfId="788" xr:uid="{00000000-0005-0000-0000-000014030000}"/>
    <cellStyle name="Normal 13 2" xfId="789" xr:uid="{00000000-0005-0000-0000-000015030000}"/>
    <cellStyle name="Normal 13 2 2" xfId="790" xr:uid="{00000000-0005-0000-0000-000016030000}"/>
    <cellStyle name="Normal 13 3" xfId="791" xr:uid="{00000000-0005-0000-0000-000017030000}"/>
    <cellStyle name="Normal 13 4" xfId="792" xr:uid="{00000000-0005-0000-0000-000018030000}"/>
    <cellStyle name="Normal 13 5" xfId="793" xr:uid="{00000000-0005-0000-0000-000019030000}"/>
    <cellStyle name="Normal 14" xfId="794" xr:uid="{00000000-0005-0000-0000-00001A030000}"/>
    <cellStyle name="Normal 14 2" xfId="795" xr:uid="{00000000-0005-0000-0000-00001B030000}"/>
    <cellStyle name="Normal 14 2 2" xfId="796" xr:uid="{00000000-0005-0000-0000-00001C030000}"/>
    <cellStyle name="Normal 14 3" xfId="797" xr:uid="{00000000-0005-0000-0000-00001D030000}"/>
    <cellStyle name="Normal 14 4" xfId="798" xr:uid="{00000000-0005-0000-0000-00001E030000}"/>
    <cellStyle name="Normal 15" xfId="799" xr:uid="{00000000-0005-0000-0000-00001F030000}"/>
    <cellStyle name="Normal 15 2" xfId="800" xr:uid="{00000000-0005-0000-0000-000020030000}"/>
    <cellStyle name="Normal 15 2 2" xfId="801" xr:uid="{00000000-0005-0000-0000-000021030000}"/>
    <cellStyle name="Normal 15 3" xfId="802" xr:uid="{00000000-0005-0000-0000-000022030000}"/>
    <cellStyle name="Normal 15 3 2" xfId="803" xr:uid="{00000000-0005-0000-0000-000023030000}"/>
    <cellStyle name="Normal 15 3 3" xfId="804" xr:uid="{00000000-0005-0000-0000-000024030000}"/>
    <cellStyle name="Normal 15 4" xfId="805" xr:uid="{00000000-0005-0000-0000-000025030000}"/>
    <cellStyle name="Normal 15 4 2" xfId="806" xr:uid="{00000000-0005-0000-0000-000026030000}"/>
    <cellStyle name="Normal 15 5" xfId="807" xr:uid="{00000000-0005-0000-0000-000027030000}"/>
    <cellStyle name="Normal 15 6" xfId="808" xr:uid="{00000000-0005-0000-0000-000028030000}"/>
    <cellStyle name="Normal 16" xfId="809" xr:uid="{00000000-0005-0000-0000-000029030000}"/>
    <cellStyle name="Normal 16 2" xfId="810" xr:uid="{00000000-0005-0000-0000-00002A030000}"/>
    <cellStyle name="Normal 16 2 2" xfId="811" xr:uid="{00000000-0005-0000-0000-00002B030000}"/>
    <cellStyle name="Normal 16 3" xfId="812" xr:uid="{00000000-0005-0000-0000-00002C030000}"/>
    <cellStyle name="Normal 16 3 2" xfId="813" xr:uid="{00000000-0005-0000-0000-00002D030000}"/>
    <cellStyle name="Normal 16 3 3" xfId="814" xr:uid="{00000000-0005-0000-0000-00002E030000}"/>
    <cellStyle name="Normal 16 4" xfId="815" xr:uid="{00000000-0005-0000-0000-00002F030000}"/>
    <cellStyle name="Normal 16 5" xfId="816" xr:uid="{00000000-0005-0000-0000-000030030000}"/>
    <cellStyle name="Normal 17" xfId="817" xr:uid="{00000000-0005-0000-0000-000031030000}"/>
    <cellStyle name="Normal 17 2" xfId="818" xr:uid="{00000000-0005-0000-0000-000032030000}"/>
    <cellStyle name="Normal 17 2 2" xfId="819" xr:uid="{00000000-0005-0000-0000-000033030000}"/>
    <cellStyle name="Normal 17 3" xfId="820" xr:uid="{00000000-0005-0000-0000-000034030000}"/>
    <cellStyle name="Normal 17 4" xfId="821" xr:uid="{00000000-0005-0000-0000-000035030000}"/>
    <cellStyle name="Normal 18" xfId="822" xr:uid="{00000000-0005-0000-0000-000036030000}"/>
    <cellStyle name="Normal 18 10" xfId="823" xr:uid="{00000000-0005-0000-0000-000037030000}"/>
    <cellStyle name="Normal 18 10 2" xfId="824" xr:uid="{00000000-0005-0000-0000-000038030000}"/>
    <cellStyle name="Normal 18 10 2 2" xfId="825" xr:uid="{00000000-0005-0000-0000-000039030000}"/>
    <cellStyle name="Normal 18 10 2 2 2" xfId="826" xr:uid="{00000000-0005-0000-0000-00003A030000}"/>
    <cellStyle name="Normal 18 10 2 3" xfId="827" xr:uid="{00000000-0005-0000-0000-00003B030000}"/>
    <cellStyle name="Normal 18 10 3" xfId="828" xr:uid="{00000000-0005-0000-0000-00003C030000}"/>
    <cellStyle name="Normal 18 10 3 2" xfId="829" xr:uid="{00000000-0005-0000-0000-00003D030000}"/>
    <cellStyle name="Normal 18 10 4" xfId="830" xr:uid="{00000000-0005-0000-0000-00003E030000}"/>
    <cellStyle name="Normal 18 10 4 2" xfId="831" xr:uid="{00000000-0005-0000-0000-00003F030000}"/>
    <cellStyle name="Normal 18 10 5" xfId="832" xr:uid="{00000000-0005-0000-0000-000040030000}"/>
    <cellStyle name="Normal 18 11" xfId="833" xr:uid="{00000000-0005-0000-0000-000041030000}"/>
    <cellStyle name="Normal 18 11 2" xfId="834" xr:uid="{00000000-0005-0000-0000-000042030000}"/>
    <cellStyle name="Normal 18 11 2 2" xfId="835" xr:uid="{00000000-0005-0000-0000-000043030000}"/>
    <cellStyle name="Normal 18 11 2 2 2" xfId="836" xr:uid="{00000000-0005-0000-0000-000044030000}"/>
    <cellStyle name="Normal 18 11 2 3" xfId="837" xr:uid="{00000000-0005-0000-0000-000045030000}"/>
    <cellStyle name="Normal 18 11 3" xfId="838" xr:uid="{00000000-0005-0000-0000-000046030000}"/>
    <cellStyle name="Normal 18 11 3 2" xfId="839" xr:uid="{00000000-0005-0000-0000-000047030000}"/>
    <cellStyle name="Normal 18 11 4" xfId="840" xr:uid="{00000000-0005-0000-0000-000048030000}"/>
    <cellStyle name="Normal 18 11 4 2" xfId="841" xr:uid="{00000000-0005-0000-0000-000049030000}"/>
    <cellStyle name="Normal 18 11 5" xfId="842" xr:uid="{00000000-0005-0000-0000-00004A030000}"/>
    <cellStyle name="Normal 18 12" xfId="843" xr:uid="{00000000-0005-0000-0000-00004B030000}"/>
    <cellStyle name="Normal 18 12 2" xfId="844" xr:uid="{00000000-0005-0000-0000-00004C030000}"/>
    <cellStyle name="Normal 18 12 2 2" xfId="845" xr:uid="{00000000-0005-0000-0000-00004D030000}"/>
    <cellStyle name="Normal 18 12 3" xfId="846" xr:uid="{00000000-0005-0000-0000-00004E030000}"/>
    <cellStyle name="Normal 18 12 3 2" xfId="847" xr:uid="{00000000-0005-0000-0000-00004F030000}"/>
    <cellStyle name="Normal 18 12 4" xfId="848" xr:uid="{00000000-0005-0000-0000-000050030000}"/>
    <cellStyle name="Normal 18 13" xfId="849" xr:uid="{00000000-0005-0000-0000-000051030000}"/>
    <cellStyle name="Normal 18 13 2" xfId="850" xr:uid="{00000000-0005-0000-0000-000052030000}"/>
    <cellStyle name="Normal 18 13 2 2" xfId="851" xr:uid="{00000000-0005-0000-0000-000053030000}"/>
    <cellStyle name="Normal 18 13 3" xfId="852" xr:uid="{00000000-0005-0000-0000-000054030000}"/>
    <cellStyle name="Normal 18 14" xfId="853" xr:uid="{00000000-0005-0000-0000-000055030000}"/>
    <cellStyle name="Normal 18 14 2" xfId="854" xr:uid="{00000000-0005-0000-0000-000056030000}"/>
    <cellStyle name="Normal 18 14 2 2" xfId="855" xr:uid="{00000000-0005-0000-0000-000057030000}"/>
    <cellStyle name="Normal 18 14 3" xfId="856" xr:uid="{00000000-0005-0000-0000-000058030000}"/>
    <cellStyle name="Normal 18 15" xfId="857" xr:uid="{00000000-0005-0000-0000-000059030000}"/>
    <cellStyle name="Normal 18 15 2" xfId="858" xr:uid="{00000000-0005-0000-0000-00005A030000}"/>
    <cellStyle name="Normal 18 16" xfId="859" xr:uid="{00000000-0005-0000-0000-00005B030000}"/>
    <cellStyle name="Normal 18 16 2" xfId="860" xr:uid="{00000000-0005-0000-0000-00005C030000}"/>
    <cellStyle name="Normal 18 17" xfId="861" xr:uid="{00000000-0005-0000-0000-00005D030000}"/>
    <cellStyle name="Normal 18 17 2" xfId="862" xr:uid="{00000000-0005-0000-0000-00005E030000}"/>
    <cellStyle name="Normal 18 18" xfId="863" xr:uid="{00000000-0005-0000-0000-00005F030000}"/>
    <cellStyle name="Normal 18 19" xfId="864" xr:uid="{00000000-0005-0000-0000-000060030000}"/>
    <cellStyle name="Normal 18 2" xfId="865" xr:uid="{00000000-0005-0000-0000-000061030000}"/>
    <cellStyle name="Normal 18 2 2" xfId="866" xr:uid="{00000000-0005-0000-0000-000062030000}"/>
    <cellStyle name="Normal 18 3" xfId="867" xr:uid="{00000000-0005-0000-0000-000063030000}"/>
    <cellStyle name="Normal 18 3 10" xfId="868" xr:uid="{00000000-0005-0000-0000-000064030000}"/>
    <cellStyle name="Normal 18 3 10 2" xfId="869" xr:uid="{00000000-0005-0000-0000-000065030000}"/>
    <cellStyle name="Normal 18 3 11" xfId="870" xr:uid="{00000000-0005-0000-0000-000066030000}"/>
    <cellStyle name="Normal 18 3 12" xfId="871" xr:uid="{00000000-0005-0000-0000-000067030000}"/>
    <cellStyle name="Normal 18 3 2" xfId="872" xr:uid="{00000000-0005-0000-0000-000068030000}"/>
    <cellStyle name="Normal 18 3 2 10" xfId="873" xr:uid="{00000000-0005-0000-0000-000069030000}"/>
    <cellStyle name="Normal 18 3 2 2" xfId="874" xr:uid="{00000000-0005-0000-0000-00006A030000}"/>
    <cellStyle name="Normal 18 3 2 2 2" xfId="875" xr:uid="{00000000-0005-0000-0000-00006B030000}"/>
    <cellStyle name="Normal 18 3 2 2 2 2" xfId="876" xr:uid="{00000000-0005-0000-0000-00006C030000}"/>
    <cellStyle name="Normal 18 3 2 2 2 2 2" xfId="877" xr:uid="{00000000-0005-0000-0000-00006D030000}"/>
    <cellStyle name="Normal 18 3 2 2 2 2 2 2" xfId="878" xr:uid="{00000000-0005-0000-0000-00006E030000}"/>
    <cellStyle name="Normal 18 3 2 2 2 2 3" xfId="879" xr:uid="{00000000-0005-0000-0000-00006F030000}"/>
    <cellStyle name="Normal 18 3 2 2 2 3" xfId="880" xr:uid="{00000000-0005-0000-0000-000070030000}"/>
    <cellStyle name="Normal 18 3 2 2 2 3 2" xfId="881" xr:uid="{00000000-0005-0000-0000-000071030000}"/>
    <cellStyle name="Normal 18 3 2 2 2 3 2 2" xfId="882" xr:uid="{00000000-0005-0000-0000-000072030000}"/>
    <cellStyle name="Normal 18 3 2 2 2 3 3" xfId="883" xr:uid="{00000000-0005-0000-0000-000073030000}"/>
    <cellStyle name="Normal 18 3 2 2 2 4" xfId="884" xr:uid="{00000000-0005-0000-0000-000074030000}"/>
    <cellStyle name="Normal 18 3 2 2 2 4 2" xfId="885" xr:uid="{00000000-0005-0000-0000-000075030000}"/>
    <cellStyle name="Normal 18 3 2 2 2 5" xfId="886" xr:uid="{00000000-0005-0000-0000-000076030000}"/>
    <cellStyle name="Normal 18 3 2 2 2 5 2" xfId="887" xr:uid="{00000000-0005-0000-0000-000077030000}"/>
    <cellStyle name="Normal 18 3 2 2 2 6" xfId="888" xr:uid="{00000000-0005-0000-0000-000078030000}"/>
    <cellStyle name="Normal 18 3 2 2 3" xfId="889" xr:uid="{00000000-0005-0000-0000-000079030000}"/>
    <cellStyle name="Normal 18 3 2 2 3 2" xfId="890" xr:uid="{00000000-0005-0000-0000-00007A030000}"/>
    <cellStyle name="Normal 18 3 2 2 3 2 2" xfId="891" xr:uid="{00000000-0005-0000-0000-00007B030000}"/>
    <cellStyle name="Normal 18 3 2 2 3 3" xfId="892" xr:uid="{00000000-0005-0000-0000-00007C030000}"/>
    <cellStyle name="Normal 18 3 2 2 4" xfId="893" xr:uid="{00000000-0005-0000-0000-00007D030000}"/>
    <cellStyle name="Normal 18 3 2 2 4 2" xfId="894" xr:uid="{00000000-0005-0000-0000-00007E030000}"/>
    <cellStyle name="Normal 18 3 2 2 4 2 2" xfId="895" xr:uid="{00000000-0005-0000-0000-00007F030000}"/>
    <cellStyle name="Normal 18 3 2 2 4 3" xfId="896" xr:uid="{00000000-0005-0000-0000-000080030000}"/>
    <cellStyle name="Normal 18 3 2 2 5" xfId="897" xr:uid="{00000000-0005-0000-0000-000081030000}"/>
    <cellStyle name="Normal 18 3 2 2 5 2" xfId="898" xr:uid="{00000000-0005-0000-0000-000082030000}"/>
    <cellStyle name="Normal 18 3 2 2 6" xfId="899" xr:uid="{00000000-0005-0000-0000-000083030000}"/>
    <cellStyle name="Normal 18 3 2 2 6 2" xfId="900" xr:uid="{00000000-0005-0000-0000-000084030000}"/>
    <cellStyle name="Normal 18 3 2 2 7" xfId="901" xr:uid="{00000000-0005-0000-0000-000085030000}"/>
    <cellStyle name="Normal 18 3 2 3" xfId="902" xr:uid="{00000000-0005-0000-0000-000086030000}"/>
    <cellStyle name="Normal 18 3 2 3 2" xfId="903" xr:uid="{00000000-0005-0000-0000-000087030000}"/>
    <cellStyle name="Normal 18 3 2 3 2 2" xfId="904" xr:uid="{00000000-0005-0000-0000-000088030000}"/>
    <cellStyle name="Normal 18 3 2 3 2 2 2" xfId="905" xr:uid="{00000000-0005-0000-0000-000089030000}"/>
    <cellStyle name="Normal 18 3 2 3 2 3" xfId="906" xr:uid="{00000000-0005-0000-0000-00008A030000}"/>
    <cellStyle name="Normal 18 3 2 3 3" xfId="907" xr:uid="{00000000-0005-0000-0000-00008B030000}"/>
    <cellStyle name="Normal 18 3 2 3 3 2" xfId="908" xr:uid="{00000000-0005-0000-0000-00008C030000}"/>
    <cellStyle name="Normal 18 3 2 3 3 2 2" xfId="909" xr:uid="{00000000-0005-0000-0000-00008D030000}"/>
    <cellStyle name="Normal 18 3 2 3 3 3" xfId="910" xr:uid="{00000000-0005-0000-0000-00008E030000}"/>
    <cellStyle name="Normal 18 3 2 3 4" xfId="911" xr:uid="{00000000-0005-0000-0000-00008F030000}"/>
    <cellStyle name="Normal 18 3 2 3 4 2" xfId="912" xr:uid="{00000000-0005-0000-0000-000090030000}"/>
    <cellStyle name="Normal 18 3 2 3 5" xfId="913" xr:uid="{00000000-0005-0000-0000-000091030000}"/>
    <cellStyle name="Normal 18 3 2 3 5 2" xfId="914" xr:uid="{00000000-0005-0000-0000-000092030000}"/>
    <cellStyle name="Normal 18 3 2 3 6" xfId="915" xr:uid="{00000000-0005-0000-0000-000093030000}"/>
    <cellStyle name="Normal 18 3 2 4" xfId="916" xr:uid="{00000000-0005-0000-0000-000094030000}"/>
    <cellStyle name="Normal 18 3 2 4 2" xfId="917" xr:uid="{00000000-0005-0000-0000-000095030000}"/>
    <cellStyle name="Normal 18 3 2 4 2 2" xfId="918" xr:uid="{00000000-0005-0000-0000-000096030000}"/>
    <cellStyle name="Normal 18 3 2 4 2 2 2" xfId="919" xr:uid="{00000000-0005-0000-0000-000097030000}"/>
    <cellStyle name="Normal 18 3 2 4 2 3" xfId="920" xr:uid="{00000000-0005-0000-0000-000098030000}"/>
    <cellStyle name="Normal 18 3 2 4 3" xfId="921" xr:uid="{00000000-0005-0000-0000-000099030000}"/>
    <cellStyle name="Normal 18 3 2 4 3 2" xfId="922" xr:uid="{00000000-0005-0000-0000-00009A030000}"/>
    <cellStyle name="Normal 18 3 2 4 4" xfId="923" xr:uid="{00000000-0005-0000-0000-00009B030000}"/>
    <cellStyle name="Normal 18 3 2 4 4 2" xfId="924" xr:uid="{00000000-0005-0000-0000-00009C030000}"/>
    <cellStyle name="Normal 18 3 2 4 5" xfId="925" xr:uid="{00000000-0005-0000-0000-00009D030000}"/>
    <cellStyle name="Normal 18 3 2 5" xfId="926" xr:uid="{00000000-0005-0000-0000-00009E030000}"/>
    <cellStyle name="Normal 18 3 2 5 2" xfId="927" xr:uid="{00000000-0005-0000-0000-00009F030000}"/>
    <cellStyle name="Normal 18 3 2 5 2 2" xfId="928" xr:uid="{00000000-0005-0000-0000-0000A0030000}"/>
    <cellStyle name="Normal 18 3 2 5 2 2 2" xfId="929" xr:uid="{00000000-0005-0000-0000-0000A1030000}"/>
    <cellStyle name="Normal 18 3 2 5 2 3" xfId="930" xr:uid="{00000000-0005-0000-0000-0000A2030000}"/>
    <cellStyle name="Normal 18 3 2 5 3" xfId="931" xr:uid="{00000000-0005-0000-0000-0000A3030000}"/>
    <cellStyle name="Normal 18 3 2 5 3 2" xfId="932" xr:uid="{00000000-0005-0000-0000-0000A4030000}"/>
    <cellStyle name="Normal 18 3 2 5 4" xfId="933" xr:uid="{00000000-0005-0000-0000-0000A5030000}"/>
    <cellStyle name="Normal 18 3 2 5 4 2" xfId="934" xr:uid="{00000000-0005-0000-0000-0000A6030000}"/>
    <cellStyle name="Normal 18 3 2 5 5" xfId="935" xr:uid="{00000000-0005-0000-0000-0000A7030000}"/>
    <cellStyle name="Normal 18 3 2 6" xfId="936" xr:uid="{00000000-0005-0000-0000-0000A8030000}"/>
    <cellStyle name="Normal 18 3 2 6 2" xfId="937" xr:uid="{00000000-0005-0000-0000-0000A9030000}"/>
    <cellStyle name="Normal 18 3 2 6 2 2" xfId="938" xr:uid="{00000000-0005-0000-0000-0000AA030000}"/>
    <cellStyle name="Normal 18 3 2 6 3" xfId="939" xr:uid="{00000000-0005-0000-0000-0000AB030000}"/>
    <cellStyle name="Normal 18 3 2 7" xfId="940" xr:uid="{00000000-0005-0000-0000-0000AC030000}"/>
    <cellStyle name="Normal 18 3 2 7 2" xfId="941" xr:uid="{00000000-0005-0000-0000-0000AD030000}"/>
    <cellStyle name="Normal 18 3 2 7 2 2" xfId="942" xr:uid="{00000000-0005-0000-0000-0000AE030000}"/>
    <cellStyle name="Normal 18 3 2 7 3" xfId="943" xr:uid="{00000000-0005-0000-0000-0000AF030000}"/>
    <cellStyle name="Normal 18 3 2 8" xfId="944" xr:uid="{00000000-0005-0000-0000-0000B0030000}"/>
    <cellStyle name="Normal 18 3 2 8 2" xfId="945" xr:uid="{00000000-0005-0000-0000-0000B1030000}"/>
    <cellStyle name="Normal 18 3 2 9" xfId="946" xr:uid="{00000000-0005-0000-0000-0000B2030000}"/>
    <cellStyle name="Normal 18 3 2 9 2" xfId="947" xr:uid="{00000000-0005-0000-0000-0000B3030000}"/>
    <cellStyle name="Normal 18 3 3" xfId="948" xr:uid="{00000000-0005-0000-0000-0000B4030000}"/>
    <cellStyle name="Normal 18 3 3 2" xfId="949" xr:uid="{00000000-0005-0000-0000-0000B5030000}"/>
    <cellStyle name="Normal 18 3 3 2 2" xfId="950" xr:uid="{00000000-0005-0000-0000-0000B6030000}"/>
    <cellStyle name="Normal 18 3 3 2 2 2" xfId="951" xr:uid="{00000000-0005-0000-0000-0000B7030000}"/>
    <cellStyle name="Normal 18 3 3 2 2 2 2" xfId="952" xr:uid="{00000000-0005-0000-0000-0000B8030000}"/>
    <cellStyle name="Normal 18 3 3 2 2 3" xfId="953" xr:uid="{00000000-0005-0000-0000-0000B9030000}"/>
    <cellStyle name="Normal 18 3 3 2 3" xfId="954" xr:uid="{00000000-0005-0000-0000-0000BA030000}"/>
    <cellStyle name="Normal 18 3 3 2 3 2" xfId="955" xr:uid="{00000000-0005-0000-0000-0000BB030000}"/>
    <cellStyle name="Normal 18 3 3 2 3 2 2" xfId="956" xr:uid="{00000000-0005-0000-0000-0000BC030000}"/>
    <cellStyle name="Normal 18 3 3 2 3 3" xfId="957" xr:uid="{00000000-0005-0000-0000-0000BD030000}"/>
    <cellStyle name="Normal 18 3 3 2 4" xfId="958" xr:uid="{00000000-0005-0000-0000-0000BE030000}"/>
    <cellStyle name="Normal 18 3 3 2 4 2" xfId="959" xr:uid="{00000000-0005-0000-0000-0000BF030000}"/>
    <cellStyle name="Normal 18 3 3 2 5" xfId="960" xr:uid="{00000000-0005-0000-0000-0000C0030000}"/>
    <cellStyle name="Normal 18 3 3 2 5 2" xfId="961" xr:uid="{00000000-0005-0000-0000-0000C1030000}"/>
    <cellStyle name="Normal 18 3 3 2 6" xfId="962" xr:uid="{00000000-0005-0000-0000-0000C2030000}"/>
    <cellStyle name="Normal 18 3 3 3" xfId="963" xr:uid="{00000000-0005-0000-0000-0000C3030000}"/>
    <cellStyle name="Normal 18 3 3 3 2" xfId="964" xr:uid="{00000000-0005-0000-0000-0000C4030000}"/>
    <cellStyle name="Normal 18 3 3 3 2 2" xfId="965" xr:uid="{00000000-0005-0000-0000-0000C5030000}"/>
    <cellStyle name="Normal 18 3 3 3 3" xfId="966" xr:uid="{00000000-0005-0000-0000-0000C6030000}"/>
    <cellStyle name="Normal 18 3 3 4" xfId="967" xr:uid="{00000000-0005-0000-0000-0000C7030000}"/>
    <cellStyle name="Normal 18 3 3 4 2" xfId="968" xr:uid="{00000000-0005-0000-0000-0000C8030000}"/>
    <cellStyle name="Normal 18 3 3 4 2 2" xfId="969" xr:uid="{00000000-0005-0000-0000-0000C9030000}"/>
    <cellStyle name="Normal 18 3 3 4 3" xfId="970" xr:uid="{00000000-0005-0000-0000-0000CA030000}"/>
    <cellStyle name="Normal 18 3 3 5" xfId="971" xr:uid="{00000000-0005-0000-0000-0000CB030000}"/>
    <cellStyle name="Normal 18 3 3 5 2" xfId="972" xr:uid="{00000000-0005-0000-0000-0000CC030000}"/>
    <cellStyle name="Normal 18 3 3 6" xfId="973" xr:uid="{00000000-0005-0000-0000-0000CD030000}"/>
    <cellStyle name="Normal 18 3 3 6 2" xfId="974" xr:uid="{00000000-0005-0000-0000-0000CE030000}"/>
    <cellStyle name="Normal 18 3 3 7" xfId="975" xr:uid="{00000000-0005-0000-0000-0000CF030000}"/>
    <cellStyle name="Normal 18 3 4" xfId="976" xr:uid="{00000000-0005-0000-0000-0000D0030000}"/>
    <cellStyle name="Normal 18 3 4 2" xfId="977" xr:uid="{00000000-0005-0000-0000-0000D1030000}"/>
    <cellStyle name="Normal 18 3 4 2 2" xfId="978" xr:uid="{00000000-0005-0000-0000-0000D2030000}"/>
    <cellStyle name="Normal 18 3 4 2 2 2" xfId="979" xr:uid="{00000000-0005-0000-0000-0000D3030000}"/>
    <cellStyle name="Normal 18 3 4 2 3" xfId="980" xr:uid="{00000000-0005-0000-0000-0000D4030000}"/>
    <cellStyle name="Normal 18 3 4 3" xfId="981" xr:uid="{00000000-0005-0000-0000-0000D5030000}"/>
    <cellStyle name="Normal 18 3 4 3 2" xfId="982" xr:uid="{00000000-0005-0000-0000-0000D6030000}"/>
    <cellStyle name="Normal 18 3 4 3 2 2" xfId="983" xr:uid="{00000000-0005-0000-0000-0000D7030000}"/>
    <cellStyle name="Normal 18 3 4 3 3" xfId="984" xr:uid="{00000000-0005-0000-0000-0000D8030000}"/>
    <cellStyle name="Normal 18 3 4 4" xfId="985" xr:uid="{00000000-0005-0000-0000-0000D9030000}"/>
    <cellStyle name="Normal 18 3 4 4 2" xfId="986" xr:uid="{00000000-0005-0000-0000-0000DA030000}"/>
    <cellStyle name="Normal 18 3 4 5" xfId="987" xr:uid="{00000000-0005-0000-0000-0000DB030000}"/>
    <cellStyle name="Normal 18 3 4 5 2" xfId="988" xr:uid="{00000000-0005-0000-0000-0000DC030000}"/>
    <cellStyle name="Normal 18 3 4 6" xfId="989" xr:uid="{00000000-0005-0000-0000-0000DD030000}"/>
    <cellStyle name="Normal 18 3 5" xfId="990" xr:uid="{00000000-0005-0000-0000-0000DE030000}"/>
    <cellStyle name="Normal 18 3 5 2" xfId="991" xr:uid="{00000000-0005-0000-0000-0000DF030000}"/>
    <cellStyle name="Normal 18 3 5 2 2" xfId="992" xr:uid="{00000000-0005-0000-0000-0000E0030000}"/>
    <cellStyle name="Normal 18 3 5 2 2 2" xfId="993" xr:uid="{00000000-0005-0000-0000-0000E1030000}"/>
    <cellStyle name="Normal 18 3 5 2 3" xfId="994" xr:uid="{00000000-0005-0000-0000-0000E2030000}"/>
    <cellStyle name="Normal 18 3 5 3" xfId="995" xr:uid="{00000000-0005-0000-0000-0000E3030000}"/>
    <cellStyle name="Normal 18 3 5 3 2" xfId="996" xr:uid="{00000000-0005-0000-0000-0000E4030000}"/>
    <cellStyle name="Normal 18 3 5 4" xfId="997" xr:uid="{00000000-0005-0000-0000-0000E5030000}"/>
    <cellStyle name="Normal 18 3 5 4 2" xfId="998" xr:uid="{00000000-0005-0000-0000-0000E6030000}"/>
    <cellStyle name="Normal 18 3 5 5" xfId="999" xr:uid="{00000000-0005-0000-0000-0000E7030000}"/>
    <cellStyle name="Normal 18 3 6" xfId="1000" xr:uid="{00000000-0005-0000-0000-0000E8030000}"/>
    <cellStyle name="Normal 18 3 6 2" xfId="1001" xr:uid="{00000000-0005-0000-0000-0000E9030000}"/>
    <cellStyle name="Normal 18 3 6 2 2" xfId="1002" xr:uid="{00000000-0005-0000-0000-0000EA030000}"/>
    <cellStyle name="Normal 18 3 6 2 2 2" xfId="1003" xr:uid="{00000000-0005-0000-0000-0000EB030000}"/>
    <cellStyle name="Normal 18 3 6 2 3" xfId="1004" xr:uid="{00000000-0005-0000-0000-0000EC030000}"/>
    <cellStyle name="Normal 18 3 6 3" xfId="1005" xr:uid="{00000000-0005-0000-0000-0000ED030000}"/>
    <cellStyle name="Normal 18 3 6 3 2" xfId="1006" xr:uid="{00000000-0005-0000-0000-0000EE030000}"/>
    <cellStyle name="Normal 18 3 6 4" xfId="1007" xr:uid="{00000000-0005-0000-0000-0000EF030000}"/>
    <cellStyle name="Normal 18 3 6 4 2" xfId="1008" xr:uid="{00000000-0005-0000-0000-0000F0030000}"/>
    <cellStyle name="Normal 18 3 6 5" xfId="1009" xr:uid="{00000000-0005-0000-0000-0000F1030000}"/>
    <cellStyle name="Normal 18 3 7" xfId="1010" xr:uid="{00000000-0005-0000-0000-0000F2030000}"/>
    <cellStyle name="Normal 18 3 7 2" xfId="1011" xr:uid="{00000000-0005-0000-0000-0000F3030000}"/>
    <cellStyle name="Normal 18 3 7 2 2" xfId="1012" xr:uid="{00000000-0005-0000-0000-0000F4030000}"/>
    <cellStyle name="Normal 18 3 7 3" xfId="1013" xr:uid="{00000000-0005-0000-0000-0000F5030000}"/>
    <cellStyle name="Normal 18 3 8" xfId="1014" xr:uid="{00000000-0005-0000-0000-0000F6030000}"/>
    <cellStyle name="Normal 18 3 8 2" xfId="1015" xr:uid="{00000000-0005-0000-0000-0000F7030000}"/>
    <cellStyle name="Normal 18 3 8 2 2" xfId="1016" xr:uid="{00000000-0005-0000-0000-0000F8030000}"/>
    <cellStyle name="Normal 18 3 8 3" xfId="1017" xr:uid="{00000000-0005-0000-0000-0000F9030000}"/>
    <cellStyle name="Normal 18 3 9" xfId="1018" xr:uid="{00000000-0005-0000-0000-0000FA030000}"/>
    <cellStyle name="Normal 18 3 9 2" xfId="1019" xr:uid="{00000000-0005-0000-0000-0000FB030000}"/>
    <cellStyle name="Normal 18 4" xfId="1020" xr:uid="{00000000-0005-0000-0000-0000FC030000}"/>
    <cellStyle name="Normal 18 4 10" xfId="1021" xr:uid="{00000000-0005-0000-0000-0000FD030000}"/>
    <cellStyle name="Normal 18 4 10 2" xfId="1022" xr:uid="{00000000-0005-0000-0000-0000FE030000}"/>
    <cellStyle name="Normal 18 4 11" xfId="1023" xr:uid="{00000000-0005-0000-0000-0000FF030000}"/>
    <cellStyle name="Normal 18 4 2" xfId="1024" xr:uid="{00000000-0005-0000-0000-000000040000}"/>
    <cellStyle name="Normal 18 4 2 10" xfId="1025" xr:uid="{00000000-0005-0000-0000-000001040000}"/>
    <cellStyle name="Normal 18 4 2 2" xfId="1026" xr:uid="{00000000-0005-0000-0000-000002040000}"/>
    <cellStyle name="Normal 18 4 2 2 2" xfId="1027" xr:uid="{00000000-0005-0000-0000-000003040000}"/>
    <cellStyle name="Normal 18 4 2 2 2 2" xfId="1028" xr:uid="{00000000-0005-0000-0000-000004040000}"/>
    <cellStyle name="Normal 18 4 2 2 2 2 2" xfId="1029" xr:uid="{00000000-0005-0000-0000-000005040000}"/>
    <cellStyle name="Normal 18 4 2 2 2 2 2 2" xfId="1030" xr:uid="{00000000-0005-0000-0000-000006040000}"/>
    <cellStyle name="Normal 18 4 2 2 2 2 3" xfId="1031" xr:uid="{00000000-0005-0000-0000-000007040000}"/>
    <cellStyle name="Normal 18 4 2 2 2 3" xfId="1032" xr:uid="{00000000-0005-0000-0000-000008040000}"/>
    <cellStyle name="Normal 18 4 2 2 2 3 2" xfId="1033" xr:uid="{00000000-0005-0000-0000-000009040000}"/>
    <cellStyle name="Normal 18 4 2 2 2 3 2 2" xfId="1034" xr:uid="{00000000-0005-0000-0000-00000A040000}"/>
    <cellStyle name="Normal 18 4 2 2 2 3 3" xfId="1035" xr:uid="{00000000-0005-0000-0000-00000B040000}"/>
    <cellStyle name="Normal 18 4 2 2 2 4" xfId="1036" xr:uid="{00000000-0005-0000-0000-00000C040000}"/>
    <cellStyle name="Normal 18 4 2 2 2 4 2" xfId="1037" xr:uid="{00000000-0005-0000-0000-00000D040000}"/>
    <cellStyle name="Normal 18 4 2 2 2 5" xfId="1038" xr:uid="{00000000-0005-0000-0000-00000E040000}"/>
    <cellStyle name="Normal 18 4 2 2 2 5 2" xfId="1039" xr:uid="{00000000-0005-0000-0000-00000F040000}"/>
    <cellStyle name="Normal 18 4 2 2 2 6" xfId="1040" xr:uid="{00000000-0005-0000-0000-000010040000}"/>
    <cellStyle name="Normal 18 4 2 2 3" xfId="1041" xr:uid="{00000000-0005-0000-0000-000011040000}"/>
    <cellStyle name="Normal 18 4 2 2 3 2" xfId="1042" xr:uid="{00000000-0005-0000-0000-000012040000}"/>
    <cellStyle name="Normal 18 4 2 2 3 2 2" xfId="1043" xr:uid="{00000000-0005-0000-0000-000013040000}"/>
    <cellStyle name="Normal 18 4 2 2 3 3" xfId="1044" xr:uid="{00000000-0005-0000-0000-000014040000}"/>
    <cellStyle name="Normal 18 4 2 2 4" xfId="1045" xr:uid="{00000000-0005-0000-0000-000015040000}"/>
    <cellStyle name="Normal 18 4 2 2 4 2" xfId="1046" xr:uid="{00000000-0005-0000-0000-000016040000}"/>
    <cellStyle name="Normal 18 4 2 2 4 2 2" xfId="1047" xr:uid="{00000000-0005-0000-0000-000017040000}"/>
    <cellStyle name="Normal 18 4 2 2 4 3" xfId="1048" xr:uid="{00000000-0005-0000-0000-000018040000}"/>
    <cellStyle name="Normal 18 4 2 2 5" xfId="1049" xr:uid="{00000000-0005-0000-0000-000019040000}"/>
    <cellStyle name="Normal 18 4 2 2 5 2" xfId="1050" xr:uid="{00000000-0005-0000-0000-00001A040000}"/>
    <cellStyle name="Normal 18 4 2 2 6" xfId="1051" xr:uid="{00000000-0005-0000-0000-00001B040000}"/>
    <cellStyle name="Normal 18 4 2 2 6 2" xfId="1052" xr:uid="{00000000-0005-0000-0000-00001C040000}"/>
    <cellStyle name="Normal 18 4 2 2 7" xfId="1053" xr:uid="{00000000-0005-0000-0000-00001D040000}"/>
    <cellStyle name="Normal 18 4 2 3" xfId="1054" xr:uid="{00000000-0005-0000-0000-00001E040000}"/>
    <cellStyle name="Normal 18 4 2 3 2" xfId="1055" xr:uid="{00000000-0005-0000-0000-00001F040000}"/>
    <cellStyle name="Normal 18 4 2 3 2 2" xfId="1056" xr:uid="{00000000-0005-0000-0000-000020040000}"/>
    <cellStyle name="Normal 18 4 2 3 2 2 2" xfId="1057" xr:uid="{00000000-0005-0000-0000-000021040000}"/>
    <cellStyle name="Normal 18 4 2 3 2 3" xfId="1058" xr:uid="{00000000-0005-0000-0000-000022040000}"/>
    <cellStyle name="Normal 18 4 2 3 3" xfId="1059" xr:uid="{00000000-0005-0000-0000-000023040000}"/>
    <cellStyle name="Normal 18 4 2 3 3 2" xfId="1060" xr:uid="{00000000-0005-0000-0000-000024040000}"/>
    <cellStyle name="Normal 18 4 2 3 3 2 2" xfId="1061" xr:uid="{00000000-0005-0000-0000-000025040000}"/>
    <cellStyle name="Normal 18 4 2 3 3 3" xfId="1062" xr:uid="{00000000-0005-0000-0000-000026040000}"/>
    <cellStyle name="Normal 18 4 2 3 4" xfId="1063" xr:uid="{00000000-0005-0000-0000-000027040000}"/>
    <cellStyle name="Normal 18 4 2 3 4 2" xfId="1064" xr:uid="{00000000-0005-0000-0000-000028040000}"/>
    <cellStyle name="Normal 18 4 2 3 5" xfId="1065" xr:uid="{00000000-0005-0000-0000-000029040000}"/>
    <cellStyle name="Normal 18 4 2 3 5 2" xfId="1066" xr:uid="{00000000-0005-0000-0000-00002A040000}"/>
    <cellStyle name="Normal 18 4 2 3 6" xfId="1067" xr:uid="{00000000-0005-0000-0000-00002B040000}"/>
    <cellStyle name="Normal 18 4 2 4" xfId="1068" xr:uid="{00000000-0005-0000-0000-00002C040000}"/>
    <cellStyle name="Normal 18 4 2 4 2" xfId="1069" xr:uid="{00000000-0005-0000-0000-00002D040000}"/>
    <cellStyle name="Normal 18 4 2 4 2 2" xfId="1070" xr:uid="{00000000-0005-0000-0000-00002E040000}"/>
    <cellStyle name="Normal 18 4 2 4 2 2 2" xfId="1071" xr:uid="{00000000-0005-0000-0000-00002F040000}"/>
    <cellStyle name="Normal 18 4 2 4 2 3" xfId="1072" xr:uid="{00000000-0005-0000-0000-000030040000}"/>
    <cellStyle name="Normal 18 4 2 4 3" xfId="1073" xr:uid="{00000000-0005-0000-0000-000031040000}"/>
    <cellStyle name="Normal 18 4 2 4 3 2" xfId="1074" xr:uid="{00000000-0005-0000-0000-000032040000}"/>
    <cellStyle name="Normal 18 4 2 4 4" xfId="1075" xr:uid="{00000000-0005-0000-0000-000033040000}"/>
    <cellStyle name="Normal 18 4 2 4 4 2" xfId="1076" xr:uid="{00000000-0005-0000-0000-000034040000}"/>
    <cellStyle name="Normal 18 4 2 4 5" xfId="1077" xr:uid="{00000000-0005-0000-0000-000035040000}"/>
    <cellStyle name="Normal 18 4 2 5" xfId="1078" xr:uid="{00000000-0005-0000-0000-000036040000}"/>
    <cellStyle name="Normal 18 4 2 5 2" xfId="1079" xr:uid="{00000000-0005-0000-0000-000037040000}"/>
    <cellStyle name="Normal 18 4 2 5 2 2" xfId="1080" xr:uid="{00000000-0005-0000-0000-000038040000}"/>
    <cellStyle name="Normal 18 4 2 5 2 2 2" xfId="1081" xr:uid="{00000000-0005-0000-0000-000039040000}"/>
    <cellStyle name="Normal 18 4 2 5 2 3" xfId="1082" xr:uid="{00000000-0005-0000-0000-00003A040000}"/>
    <cellStyle name="Normal 18 4 2 5 3" xfId="1083" xr:uid="{00000000-0005-0000-0000-00003B040000}"/>
    <cellStyle name="Normal 18 4 2 5 3 2" xfId="1084" xr:uid="{00000000-0005-0000-0000-00003C040000}"/>
    <cellStyle name="Normal 18 4 2 5 4" xfId="1085" xr:uid="{00000000-0005-0000-0000-00003D040000}"/>
    <cellStyle name="Normal 18 4 2 5 4 2" xfId="1086" xr:uid="{00000000-0005-0000-0000-00003E040000}"/>
    <cellStyle name="Normal 18 4 2 5 5" xfId="1087" xr:uid="{00000000-0005-0000-0000-00003F040000}"/>
    <cellStyle name="Normal 18 4 2 6" xfId="1088" xr:uid="{00000000-0005-0000-0000-000040040000}"/>
    <cellStyle name="Normal 18 4 2 6 2" xfId="1089" xr:uid="{00000000-0005-0000-0000-000041040000}"/>
    <cellStyle name="Normal 18 4 2 6 2 2" xfId="1090" xr:uid="{00000000-0005-0000-0000-000042040000}"/>
    <cellStyle name="Normal 18 4 2 6 3" xfId="1091" xr:uid="{00000000-0005-0000-0000-000043040000}"/>
    <cellStyle name="Normal 18 4 2 7" xfId="1092" xr:uid="{00000000-0005-0000-0000-000044040000}"/>
    <cellStyle name="Normal 18 4 2 7 2" xfId="1093" xr:uid="{00000000-0005-0000-0000-000045040000}"/>
    <cellStyle name="Normal 18 4 2 7 2 2" xfId="1094" xr:uid="{00000000-0005-0000-0000-000046040000}"/>
    <cellStyle name="Normal 18 4 2 7 3" xfId="1095" xr:uid="{00000000-0005-0000-0000-000047040000}"/>
    <cellStyle name="Normal 18 4 2 8" xfId="1096" xr:uid="{00000000-0005-0000-0000-000048040000}"/>
    <cellStyle name="Normal 18 4 2 8 2" xfId="1097" xr:uid="{00000000-0005-0000-0000-000049040000}"/>
    <cellStyle name="Normal 18 4 2 9" xfId="1098" xr:uid="{00000000-0005-0000-0000-00004A040000}"/>
    <cellStyle name="Normal 18 4 2 9 2" xfId="1099" xr:uid="{00000000-0005-0000-0000-00004B040000}"/>
    <cellStyle name="Normal 18 4 3" xfId="1100" xr:uid="{00000000-0005-0000-0000-00004C040000}"/>
    <cellStyle name="Normal 18 4 3 2" xfId="1101" xr:uid="{00000000-0005-0000-0000-00004D040000}"/>
    <cellStyle name="Normal 18 4 3 2 2" xfId="1102" xr:uid="{00000000-0005-0000-0000-00004E040000}"/>
    <cellStyle name="Normal 18 4 3 2 2 2" xfId="1103" xr:uid="{00000000-0005-0000-0000-00004F040000}"/>
    <cellStyle name="Normal 18 4 3 2 2 2 2" xfId="1104" xr:uid="{00000000-0005-0000-0000-000050040000}"/>
    <cellStyle name="Normal 18 4 3 2 2 3" xfId="1105" xr:uid="{00000000-0005-0000-0000-000051040000}"/>
    <cellStyle name="Normal 18 4 3 2 3" xfId="1106" xr:uid="{00000000-0005-0000-0000-000052040000}"/>
    <cellStyle name="Normal 18 4 3 2 3 2" xfId="1107" xr:uid="{00000000-0005-0000-0000-000053040000}"/>
    <cellStyle name="Normal 18 4 3 2 3 2 2" xfId="1108" xr:uid="{00000000-0005-0000-0000-000054040000}"/>
    <cellStyle name="Normal 18 4 3 2 3 3" xfId="1109" xr:uid="{00000000-0005-0000-0000-000055040000}"/>
    <cellStyle name="Normal 18 4 3 2 4" xfId="1110" xr:uid="{00000000-0005-0000-0000-000056040000}"/>
    <cellStyle name="Normal 18 4 3 2 4 2" xfId="1111" xr:uid="{00000000-0005-0000-0000-000057040000}"/>
    <cellStyle name="Normal 18 4 3 2 5" xfId="1112" xr:uid="{00000000-0005-0000-0000-000058040000}"/>
    <cellStyle name="Normal 18 4 3 2 5 2" xfId="1113" xr:uid="{00000000-0005-0000-0000-000059040000}"/>
    <cellStyle name="Normal 18 4 3 2 6" xfId="1114" xr:uid="{00000000-0005-0000-0000-00005A040000}"/>
    <cellStyle name="Normal 18 4 3 3" xfId="1115" xr:uid="{00000000-0005-0000-0000-00005B040000}"/>
    <cellStyle name="Normal 18 4 3 3 2" xfId="1116" xr:uid="{00000000-0005-0000-0000-00005C040000}"/>
    <cellStyle name="Normal 18 4 3 3 2 2" xfId="1117" xr:uid="{00000000-0005-0000-0000-00005D040000}"/>
    <cellStyle name="Normal 18 4 3 3 3" xfId="1118" xr:uid="{00000000-0005-0000-0000-00005E040000}"/>
    <cellStyle name="Normal 18 4 3 4" xfId="1119" xr:uid="{00000000-0005-0000-0000-00005F040000}"/>
    <cellStyle name="Normal 18 4 3 4 2" xfId="1120" xr:uid="{00000000-0005-0000-0000-000060040000}"/>
    <cellStyle name="Normal 18 4 3 4 2 2" xfId="1121" xr:uid="{00000000-0005-0000-0000-000061040000}"/>
    <cellStyle name="Normal 18 4 3 4 3" xfId="1122" xr:uid="{00000000-0005-0000-0000-000062040000}"/>
    <cellStyle name="Normal 18 4 3 5" xfId="1123" xr:uid="{00000000-0005-0000-0000-000063040000}"/>
    <cellStyle name="Normal 18 4 3 5 2" xfId="1124" xr:uid="{00000000-0005-0000-0000-000064040000}"/>
    <cellStyle name="Normal 18 4 3 6" xfId="1125" xr:uid="{00000000-0005-0000-0000-000065040000}"/>
    <cellStyle name="Normal 18 4 3 6 2" xfId="1126" xr:uid="{00000000-0005-0000-0000-000066040000}"/>
    <cellStyle name="Normal 18 4 3 7" xfId="1127" xr:uid="{00000000-0005-0000-0000-000067040000}"/>
    <cellStyle name="Normal 18 4 4" xfId="1128" xr:uid="{00000000-0005-0000-0000-000068040000}"/>
    <cellStyle name="Normal 18 4 4 2" xfId="1129" xr:uid="{00000000-0005-0000-0000-000069040000}"/>
    <cellStyle name="Normal 18 4 4 2 2" xfId="1130" xr:uid="{00000000-0005-0000-0000-00006A040000}"/>
    <cellStyle name="Normal 18 4 4 2 2 2" xfId="1131" xr:uid="{00000000-0005-0000-0000-00006B040000}"/>
    <cellStyle name="Normal 18 4 4 2 3" xfId="1132" xr:uid="{00000000-0005-0000-0000-00006C040000}"/>
    <cellStyle name="Normal 18 4 4 3" xfId="1133" xr:uid="{00000000-0005-0000-0000-00006D040000}"/>
    <cellStyle name="Normal 18 4 4 3 2" xfId="1134" xr:uid="{00000000-0005-0000-0000-00006E040000}"/>
    <cellStyle name="Normal 18 4 4 3 2 2" xfId="1135" xr:uid="{00000000-0005-0000-0000-00006F040000}"/>
    <cellStyle name="Normal 18 4 4 3 3" xfId="1136" xr:uid="{00000000-0005-0000-0000-000070040000}"/>
    <cellStyle name="Normal 18 4 4 4" xfId="1137" xr:uid="{00000000-0005-0000-0000-000071040000}"/>
    <cellStyle name="Normal 18 4 4 4 2" xfId="1138" xr:uid="{00000000-0005-0000-0000-000072040000}"/>
    <cellStyle name="Normal 18 4 4 5" xfId="1139" xr:uid="{00000000-0005-0000-0000-000073040000}"/>
    <cellStyle name="Normal 18 4 4 5 2" xfId="1140" xr:uid="{00000000-0005-0000-0000-000074040000}"/>
    <cellStyle name="Normal 18 4 4 6" xfId="1141" xr:uid="{00000000-0005-0000-0000-000075040000}"/>
    <cellStyle name="Normal 18 4 5" xfId="1142" xr:uid="{00000000-0005-0000-0000-000076040000}"/>
    <cellStyle name="Normal 18 4 5 2" xfId="1143" xr:uid="{00000000-0005-0000-0000-000077040000}"/>
    <cellStyle name="Normal 18 4 5 2 2" xfId="1144" xr:uid="{00000000-0005-0000-0000-000078040000}"/>
    <cellStyle name="Normal 18 4 5 2 2 2" xfId="1145" xr:uid="{00000000-0005-0000-0000-000079040000}"/>
    <cellStyle name="Normal 18 4 5 2 3" xfId="1146" xr:uid="{00000000-0005-0000-0000-00007A040000}"/>
    <cellStyle name="Normal 18 4 5 3" xfId="1147" xr:uid="{00000000-0005-0000-0000-00007B040000}"/>
    <cellStyle name="Normal 18 4 5 3 2" xfId="1148" xr:uid="{00000000-0005-0000-0000-00007C040000}"/>
    <cellStyle name="Normal 18 4 5 4" xfId="1149" xr:uid="{00000000-0005-0000-0000-00007D040000}"/>
    <cellStyle name="Normal 18 4 5 4 2" xfId="1150" xr:uid="{00000000-0005-0000-0000-00007E040000}"/>
    <cellStyle name="Normal 18 4 5 5" xfId="1151" xr:uid="{00000000-0005-0000-0000-00007F040000}"/>
    <cellStyle name="Normal 18 4 6" xfId="1152" xr:uid="{00000000-0005-0000-0000-000080040000}"/>
    <cellStyle name="Normal 18 4 6 2" xfId="1153" xr:uid="{00000000-0005-0000-0000-000081040000}"/>
    <cellStyle name="Normal 18 4 6 2 2" xfId="1154" xr:uid="{00000000-0005-0000-0000-000082040000}"/>
    <cellStyle name="Normal 18 4 6 2 2 2" xfId="1155" xr:uid="{00000000-0005-0000-0000-000083040000}"/>
    <cellStyle name="Normal 18 4 6 2 3" xfId="1156" xr:uid="{00000000-0005-0000-0000-000084040000}"/>
    <cellStyle name="Normal 18 4 6 3" xfId="1157" xr:uid="{00000000-0005-0000-0000-000085040000}"/>
    <cellStyle name="Normal 18 4 6 3 2" xfId="1158" xr:uid="{00000000-0005-0000-0000-000086040000}"/>
    <cellStyle name="Normal 18 4 6 4" xfId="1159" xr:uid="{00000000-0005-0000-0000-000087040000}"/>
    <cellStyle name="Normal 18 4 6 4 2" xfId="1160" xr:uid="{00000000-0005-0000-0000-000088040000}"/>
    <cellStyle name="Normal 18 4 6 5" xfId="1161" xr:uid="{00000000-0005-0000-0000-000089040000}"/>
    <cellStyle name="Normal 18 4 7" xfId="1162" xr:uid="{00000000-0005-0000-0000-00008A040000}"/>
    <cellStyle name="Normal 18 4 7 2" xfId="1163" xr:uid="{00000000-0005-0000-0000-00008B040000}"/>
    <cellStyle name="Normal 18 4 7 2 2" xfId="1164" xr:uid="{00000000-0005-0000-0000-00008C040000}"/>
    <cellStyle name="Normal 18 4 7 3" xfId="1165" xr:uid="{00000000-0005-0000-0000-00008D040000}"/>
    <cellStyle name="Normal 18 4 8" xfId="1166" xr:uid="{00000000-0005-0000-0000-00008E040000}"/>
    <cellStyle name="Normal 18 4 8 2" xfId="1167" xr:uid="{00000000-0005-0000-0000-00008F040000}"/>
    <cellStyle name="Normal 18 4 8 2 2" xfId="1168" xr:uid="{00000000-0005-0000-0000-000090040000}"/>
    <cellStyle name="Normal 18 4 8 3" xfId="1169" xr:uid="{00000000-0005-0000-0000-000091040000}"/>
    <cellStyle name="Normal 18 4 9" xfId="1170" xr:uid="{00000000-0005-0000-0000-000092040000}"/>
    <cellStyle name="Normal 18 4 9 2" xfId="1171" xr:uid="{00000000-0005-0000-0000-000093040000}"/>
    <cellStyle name="Normal 18 5" xfId="1172" xr:uid="{00000000-0005-0000-0000-000094040000}"/>
    <cellStyle name="Normal 18 5 10" xfId="1173" xr:uid="{00000000-0005-0000-0000-000095040000}"/>
    <cellStyle name="Normal 18 5 2" xfId="1174" xr:uid="{00000000-0005-0000-0000-000096040000}"/>
    <cellStyle name="Normal 18 5 2 2" xfId="1175" xr:uid="{00000000-0005-0000-0000-000097040000}"/>
    <cellStyle name="Normal 18 5 2 2 2" xfId="1176" xr:uid="{00000000-0005-0000-0000-000098040000}"/>
    <cellStyle name="Normal 18 5 2 2 2 2" xfId="1177" xr:uid="{00000000-0005-0000-0000-000099040000}"/>
    <cellStyle name="Normal 18 5 2 2 2 2 2" xfId="1178" xr:uid="{00000000-0005-0000-0000-00009A040000}"/>
    <cellStyle name="Normal 18 5 2 2 2 3" xfId="1179" xr:uid="{00000000-0005-0000-0000-00009B040000}"/>
    <cellStyle name="Normal 18 5 2 2 3" xfId="1180" xr:uid="{00000000-0005-0000-0000-00009C040000}"/>
    <cellStyle name="Normal 18 5 2 2 3 2" xfId="1181" xr:uid="{00000000-0005-0000-0000-00009D040000}"/>
    <cellStyle name="Normal 18 5 2 2 3 2 2" xfId="1182" xr:uid="{00000000-0005-0000-0000-00009E040000}"/>
    <cellStyle name="Normal 18 5 2 2 3 3" xfId="1183" xr:uid="{00000000-0005-0000-0000-00009F040000}"/>
    <cellStyle name="Normal 18 5 2 2 4" xfId="1184" xr:uid="{00000000-0005-0000-0000-0000A0040000}"/>
    <cellStyle name="Normal 18 5 2 2 4 2" xfId="1185" xr:uid="{00000000-0005-0000-0000-0000A1040000}"/>
    <cellStyle name="Normal 18 5 2 2 5" xfId="1186" xr:uid="{00000000-0005-0000-0000-0000A2040000}"/>
    <cellStyle name="Normal 18 5 2 2 5 2" xfId="1187" xr:uid="{00000000-0005-0000-0000-0000A3040000}"/>
    <cellStyle name="Normal 18 5 2 2 6" xfId="1188" xr:uid="{00000000-0005-0000-0000-0000A4040000}"/>
    <cellStyle name="Normal 18 5 2 3" xfId="1189" xr:uid="{00000000-0005-0000-0000-0000A5040000}"/>
    <cellStyle name="Normal 18 5 2 3 2" xfId="1190" xr:uid="{00000000-0005-0000-0000-0000A6040000}"/>
    <cellStyle name="Normal 18 5 2 3 2 2" xfId="1191" xr:uid="{00000000-0005-0000-0000-0000A7040000}"/>
    <cellStyle name="Normal 18 5 2 3 3" xfId="1192" xr:uid="{00000000-0005-0000-0000-0000A8040000}"/>
    <cellStyle name="Normal 18 5 2 4" xfId="1193" xr:uid="{00000000-0005-0000-0000-0000A9040000}"/>
    <cellStyle name="Normal 18 5 2 4 2" xfId="1194" xr:uid="{00000000-0005-0000-0000-0000AA040000}"/>
    <cellStyle name="Normal 18 5 2 4 2 2" xfId="1195" xr:uid="{00000000-0005-0000-0000-0000AB040000}"/>
    <cellStyle name="Normal 18 5 2 4 3" xfId="1196" xr:uid="{00000000-0005-0000-0000-0000AC040000}"/>
    <cellStyle name="Normal 18 5 2 5" xfId="1197" xr:uid="{00000000-0005-0000-0000-0000AD040000}"/>
    <cellStyle name="Normal 18 5 2 5 2" xfId="1198" xr:uid="{00000000-0005-0000-0000-0000AE040000}"/>
    <cellStyle name="Normal 18 5 2 6" xfId="1199" xr:uid="{00000000-0005-0000-0000-0000AF040000}"/>
    <cellStyle name="Normal 18 5 2 6 2" xfId="1200" xr:uid="{00000000-0005-0000-0000-0000B0040000}"/>
    <cellStyle name="Normal 18 5 2 7" xfId="1201" xr:uid="{00000000-0005-0000-0000-0000B1040000}"/>
    <cellStyle name="Normal 18 5 3" xfId="1202" xr:uid="{00000000-0005-0000-0000-0000B2040000}"/>
    <cellStyle name="Normal 18 5 3 2" xfId="1203" xr:uid="{00000000-0005-0000-0000-0000B3040000}"/>
    <cellStyle name="Normal 18 5 3 2 2" xfId="1204" xr:uid="{00000000-0005-0000-0000-0000B4040000}"/>
    <cellStyle name="Normal 18 5 3 2 2 2" xfId="1205" xr:uid="{00000000-0005-0000-0000-0000B5040000}"/>
    <cellStyle name="Normal 18 5 3 2 3" xfId="1206" xr:uid="{00000000-0005-0000-0000-0000B6040000}"/>
    <cellStyle name="Normal 18 5 3 3" xfId="1207" xr:uid="{00000000-0005-0000-0000-0000B7040000}"/>
    <cellStyle name="Normal 18 5 3 3 2" xfId="1208" xr:uid="{00000000-0005-0000-0000-0000B8040000}"/>
    <cellStyle name="Normal 18 5 3 3 2 2" xfId="1209" xr:uid="{00000000-0005-0000-0000-0000B9040000}"/>
    <cellStyle name="Normal 18 5 3 3 3" xfId="1210" xr:uid="{00000000-0005-0000-0000-0000BA040000}"/>
    <cellStyle name="Normal 18 5 3 4" xfId="1211" xr:uid="{00000000-0005-0000-0000-0000BB040000}"/>
    <cellStyle name="Normal 18 5 3 4 2" xfId="1212" xr:uid="{00000000-0005-0000-0000-0000BC040000}"/>
    <cellStyle name="Normal 18 5 3 5" xfId="1213" xr:uid="{00000000-0005-0000-0000-0000BD040000}"/>
    <cellStyle name="Normal 18 5 3 5 2" xfId="1214" xr:uid="{00000000-0005-0000-0000-0000BE040000}"/>
    <cellStyle name="Normal 18 5 3 6" xfId="1215" xr:uid="{00000000-0005-0000-0000-0000BF040000}"/>
    <cellStyle name="Normal 18 5 4" xfId="1216" xr:uid="{00000000-0005-0000-0000-0000C0040000}"/>
    <cellStyle name="Normal 18 5 4 2" xfId="1217" xr:uid="{00000000-0005-0000-0000-0000C1040000}"/>
    <cellStyle name="Normal 18 5 4 2 2" xfId="1218" xr:uid="{00000000-0005-0000-0000-0000C2040000}"/>
    <cellStyle name="Normal 18 5 4 2 2 2" xfId="1219" xr:uid="{00000000-0005-0000-0000-0000C3040000}"/>
    <cellStyle name="Normal 18 5 4 2 3" xfId="1220" xr:uid="{00000000-0005-0000-0000-0000C4040000}"/>
    <cellStyle name="Normal 18 5 4 3" xfId="1221" xr:uid="{00000000-0005-0000-0000-0000C5040000}"/>
    <cellStyle name="Normal 18 5 4 3 2" xfId="1222" xr:uid="{00000000-0005-0000-0000-0000C6040000}"/>
    <cellStyle name="Normal 18 5 4 4" xfId="1223" xr:uid="{00000000-0005-0000-0000-0000C7040000}"/>
    <cellStyle name="Normal 18 5 4 4 2" xfId="1224" xr:uid="{00000000-0005-0000-0000-0000C8040000}"/>
    <cellStyle name="Normal 18 5 4 5" xfId="1225" xr:uid="{00000000-0005-0000-0000-0000C9040000}"/>
    <cellStyle name="Normal 18 5 5" xfId="1226" xr:uid="{00000000-0005-0000-0000-0000CA040000}"/>
    <cellStyle name="Normal 18 5 5 2" xfId="1227" xr:uid="{00000000-0005-0000-0000-0000CB040000}"/>
    <cellStyle name="Normal 18 5 5 2 2" xfId="1228" xr:uid="{00000000-0005-0000-0000-0000CC040000}"/>
    <cellStyle name="Normal 18 5 5 2 2 2" xfId="1229" xr:uid="{00000000-0005-0000-0000-0000CD040000}"/>
    <cellStyle name="Normal 18 5 5 2 3" xfId="1230" xr:uid="{00000000-0005-0000-0000-0000CE040000}"/>
    <cellStyle name="Normal 18 5 5 3" xfId="1231" xr:uid="{00000000-0005-0000-0000-0000CF040000}"/>
    <cellStyle name="Normal 18 5 5 3 2" xfId="1232" xr:uid="{00000000-0005-0000-0000-0000D0040000}"/>
    <cellStyle name="Normal 18 5 5 4" xfId="1233" xr:uid="{00000000-0005-0000-0000-0000D1040000}"/>
    <cellStyle name="Normal 18 5 5 4 2" xfId="1234" xr:uid="{00000000-0005-0000-0000-0000D2040000}"/>
    <cellStyle name="Normal 18 5 5 5" xfId="1235" xr:uid="{00000000-0005-0000-0000-0000D3040000}"/>
    <cellStyle name="Normal 18 5 6" xfId="1236" xr:uid="{00000000-0005-0000-0000-0000D4040000}"/>
    <cellStyle name="Normal 18 5 6 2" xfId="1237" xr:uid="{00000000-0005-0000-0000-0000D5040000}"/>
    <cellStyle name="Normal 18 5 6 2 2" xfId="1238" xr:uid="{00000000-0005-0000-0000-0000D6040000}"/>
    <cellStyle name="Normal 18 5 6 3" xfId="1239" xr:uid="{00000000-0005-0000-0000-0000D7040000}"/>
    <cellStyle name="Normal 18 5 7" xfId="1240" xr:uid="{00000000-0005-0000-0000-0000D8040000}"/>
    <cellStyle name="Normal 18 5 7 2" xfId="1241" xr:uid="{00000000-0005-0000-0000-0000D9040000}"/>
    <cellStyle name="Normal 18 5 7 2 2" xfId="1242" xr:uid="{00000000-0005-0000-0000-0000DA040000}"/>
    <cellStyle name="Normal 18 5 7 3" xfId="1243" xr:uid="{00000000-0005-0000-0000-0000DB040000}"/>
    <cellStyle name="Normal 18 5 8" xfId="1244" xr:uid="{00000000-0005-0000-0000-0000DC040000}"/>
    <cellStyle name="Normal 18 5 8 2" xfId="1245" xr:uid="{00000000-0005-0000-0000-0000DD040000}"/>
    <cellStyle name="Normal 18 5 9" xfId="1246" xr:uid="{00000000-0005-0000-0000-0000DE040000}"/>
    <cellStyle name="Normal 18 5 9 2" xfId="1247" xr:uid="{00000000-0005-0000-0000-0000DF040000}"/>
    <cellStyle name="Normal 18 6" xfId="1248" xr:uid="{00000000-0005-0000-0000-0000E0040000}"/>
    <cellStyle name="Normal 18 6 2" xfId="1249" xr:uid="{00000000-0005-0000-0000-0000E1040000}"/>
    <cellStyle name="Normal 18 6 2 2" xfId="1250" xr:uid="{00000000-0005-0000-0000-0000E2040000}"/>
    <cellStyle name="Normal 18 6 2 2 2" xfId="1251" xr:uid="{00000000-0005-0000-0000-0000E3040000}"/>
    <cellStyle name="Normal 18 6 2 2 2 2" xfId="1252" xr:uid="{00000000-0005-0000-0000-0000E4040000}"/>
    <cellStyle name="Normal 18 6 2 2 2 2 2" xfId="1253" xr:uid="{00000000-0005-0000-0000-0000E5040000}"/>
    <cellStyle name="Normal 18 6 2 2 2 3" xfId="1254" xr:uid="{00000000-0005-0000-0000-0000E6040000}"/>
    <cellStyle name="Normal 18 6 2 2 3" xfId="1255" xr:uid="{00000000-0005-0000-0000-0000E7040000}"/>
    <cellStyle name="Normal 18 6 2 2 3 2" xfId="1256" xr:uid="{00000000-0005-0000-0000-0000E8040000}"/>
    <cellStyle name="Normal 18 6 2 2 3 2 2" xfId="1257" xr:uid="{00000000-0005-0000-0000-0000E9040000}"/>
    <cellStyle name="Normal 18 6 2 2 3 3" xfId="1258" xr:uid="{00000000-0005-0000-0000-0000EA040000}"/>
    <cellStyle name="Normal 18 6 2 2 4" xfId="1259" xr:uid="{00000000-0005-0000-0000-0000EB040000}"/>
    <cellStyle name="Normal 18 6 2 2 4 2" xfId="1260" xr:uid="{00000000-0005-0000-0000-0000EC040000}"/>
    <cellStyle name="Normal 18 6 2 2 5" xfId="1261" xr:uid="{00000000-0005-0000-0000-0000ED040000}"/>
    <cellStyle name="Normal 18 6 2 2 5 2" xfId="1262" xr:uid="{00000000-0005-0000-0000-0000EE040000}"/>
    <cellStyle name="Normal 18 6 2 2 6" xfId="1263" xr:uid="{00000000-0005-0000-0000-0000EF040000}"/>
    <cellStyle name="Normal 18 6 2 3" xfId="1264" xr:uid="{00000000-0005-0000-0000-0000F0040000}"/>
    <cellStyle name="Normal 18 6 2 3 2" xfId="1265" xr:uid="{00000000-0005-0000-0000-0000F1040000}"/>
    <cellStyle name="Normal 18 6 2 3 2 2" xfId="1266" xr:uid="{00000000-0005-0000-0000-0000F2040000}"/>
    <cellStyle name="Normal 18 6 2 3 3" xfId="1267" xr:uid="{00000000-0005-0000-0000-0000F3040000}"/>
    <cellStyle name="Normal 18 6 2 4" xfId="1268" xr:uid="{00000000-0005-0000-0000-0000F4040000}"/>
    <cellStyle name="Normal 18 6 2 4 2" xfId="1269" xr:uid="{00000000-0005-0000-0000-0000F5040000}"/>
    <cellStyle name="Normal 18 6 2 4 2 2" xfId="1270" xr:uid="{00000000-0005-0000-0000-0000F6040000}"/>
    <cellStyle name="Normal 18 6 2 4 3" xfId="1271" xr:uid="{00000000-0005-0000-0000-0000F7040000}"/>
    <cellStyle name="Normal 18 6 2 5" xfId="1272" xr:uid="{00000000-0005-0000-0000-0000F8040000}"/>
    <cellStyle name="Normal 18 6 2 5 2" xfId="1273" xr:uid="{00000000-0005-0000-0000-0000F9040000}"/>
    <cellStyle name="Normal 18 6 2 6" xfId="1274" xr:uid="{00000000-0005-0000-0000-0000FA040000}"/>
    <cellStyle name="Normal 18 6 2 6 2" xfId="1275" xr:uid="{00000000-0005-0000-0000-0000FB040000}"/>
    <cellStyle name="Normal 18 6 2 7" xfId="1276" xr:uid="{00000000-0005-0000-0000-0000FC040000}"/>
    <cellStyle name="Normal 18 6 3" xfId="1277" xr:uid="{00000000-0005-0000-0000-0000FD040000}"/>
    <cellStyle name="Normal 18 6 3 2" xfId="1278" xr:uid="{00000000-0005-0000-0000-0000FE040000}"/>
    <cellStyle name="Normal 18 6 3 2 2" xfId="1279" xr:uid="{00000000-0005-0000-0000-0000FF040000}"/>
    <cellStyle name="Normal 18 6 3 2 2 2" xfId="1280" xr:uid="{00000000-0005-0000-0000-000000050000}"/>
    <cellStyle name="Normal 18 6 3 2 3" xfId="1281" xr:uid="{00000000-0005-0000-0000-000001050000}"/>
    <cellStyle name="Normal 18 6 3 3" xfId="1282" xr:uid="{00000000-0005-0000-0000-000002050000}"/>
    <cellStyle name="Normal 18 6 3 3 2" xfId="1283" xr:uid="{00000000-0005-0000-0000-000003050000}"/>
    <cellStyle name="Normal 18 6 3 3 2 2" xfId="1284" xr:uid="{00000000-0005-0000-0000-000004050000}"/>
    <cellStyle name="Normal 18 6 3 3 3" xfId="1285" xr:uid="{00000000-0005-0000-0000-000005050000}"/>
    <cellStyle name="Normal 18 6 3 4" xfId="1286" xr:uid="{00000000-0005-0000-0000-000006050000}"/>
    <cellStyle name="Normal 18 6 3 4 2" xfId="1287" xr:uid="{00000000-0005-0000-0000-000007050000}"/>
    <cellStyle name="Normal 18 6 3 5" xfId="1288" xr:uid="{00000000-0005-0000-0000-000008050000}"/>
    <cellStyle name="Normal 18 6 3 5 2" xfId="1289" xr:uid="{00000000-0005-0000-0000-000009050000}"/>
    <cellStyle name="Normal 18 6 3 6" xfId="1290" xr:uid="{00000000-0005-0000-0000-00000A050000}"/>
    <cellStyle name="Normal 18 6 4" xfId="1291" xr:uid="{00000000-0005-0000-0000-00000B050000}"/>
    <cellStyle name="Normal 18 6 4 2" xfId="1292" xr:uid="{00000000-0005-0000-0000-00000C050000}"/>
    <cellStyle name="Normal 18 6 4 2 2" xfId="1293" xr:uid="{00000000-0005-0000-0000-00000D050000}"/>
    <cellStyle name="Normal 18 6 4 3" xfId="1294" xr:uid="{00000000-0005-0000-0000-00000E050000}"/>
    <cellStyle name="Normal 18 6 5" xfId="1295" xr:uid="{00000000-0005-0000-0000-00000F050000}"/>
    <cellStyle name="Normal 18 6 5 2" xfId="1296" xr:uid="{00000000-0005-0000-0000-000010050000}"/>
    <cellStyle name="Normal 18 6 5 2 2" xfId="1297" xr:uid="{00000000-0005-0000-0000-000011050000}"/>
    <cellStyle name="Normal 18 6 5 3" xfId="1298" xr:uid="{00000000-0005-0000-0000-000012050000}"/>
    <cellStyle name="Normal 18 6 6" xfId="1299" xr:uid="{00000000-0005-0000-0000-000013050000}"/>
    <cellStyle name="Normal 18 6 6 2" xfId="1300" xr:uid="{00000000-0005-0000-0000-000014050000}"/>
    <cellStyle name="Normal 18 6 7" xfId="1301" xr:uid="{00000000-0005-0000-0000-000015050000}"/>
    <cellStyle name="Normal 18 6 7 2" xfId="1302" xr:uid="{00000000-0005-0000-0000-000016050000}"/>
    <cellStyle name="Normal 18 6 8" xfId="1303" xr:uid="{00000000-0005-0000-0000-000017050000}"/>
    <cellStyle name="Normal 18 7" xfId="1304" xr:uid="{00000000-0005-0000-0000-000018050000}"/>
    <cellStyle name="Normal 18 7 2" xfId="1305" xr:uid="{00000000-0005-0000-0000-000019050000}"/>
    <cellStyle name="Normal 18 7 2 2" xfId="1306" xr:uid="{00000000-0005-0000-0000-00001A050000}"/>
    <cellStyle name="Normal 18 7 2 2 2" xfId="1307" xr:uid="{00000000-0005-0000-0000-00001B050000}"/>
    <cellStyle name="Normal 18 7 2 2 2 2" xfId="1308" xr:uid="{00000000-0005-0000-0000-00001C050000}"/>
    <cellStyle name="Normal 18 7 2 2 3" xfId="1309" xr:uid="{00000000-0005-0000-0000-00001D050000}"/>
    <cellStyle name="Normal 18 7 2 3" xfId="1310" xr:uid="{00000000-0005-0000-0000-00001E050000}"/>
    <cellStyle name="Normal 18 7 2 3 2" xfId="1311" xr:uid="{00000000-0005-0000-0000-00001F050000}"/>
    <cellStyle name="Normal 18 7 2 3 2 2" xfId="1312" xr:uid="{00000000-0005-0000-0000-000020050000}"/>
    <cellStyle name="Normal 18 7 2 3 3" xfId="1313" xr:uid="{00000000-0005-0000-0000-000021050000}"/>
    <cellStyle name="Normal 18 7 2 4" xfId="1314" xr:uid="{00000000-0005-0000-0000-000022050000}"/>
    <cellStyle name="Normal 18 7 2 4 2" xfId="1315" xr:uid="{00000000-0005-0000-0000-000023050000}"/>
    <cellStyle name="Normal 18 7 2 5" xfId="1316" xr:uid="{00000000-0005-0000-0000-000024050000}"/>
    <cellStyle name="Normal 18 7 2 5 2" xfId="1317" xr:uid="{00000000-0005-0000-0000-000025050000}"/>
    <cellStyle name="Normal 18 7 2 6" xfId="1318" xr:uid="{00000000-0005-0000-0000-000026050000}"/>
    <cellStyle name="Normal 18 7 3" xfId="1319" xr:uid="{00000000-0005-0000-0000-000027050000}"/>
    <cellStyle name="Normal 18 7 3 2" xfId="1320" xr:uid="{00000000-0005-0000-0000-000028050000}"/>
    <cellStyle name="Normal 18 7 3 2 2" xfId="1321" xr:uid="{00000000-0005-0000-0000-000029050000}"/>
    <cellStyle name="Normal 18 7 3 3" xfId="1322" xr:uid="{00000000-0005-0000-0000-00002A050000}"/>
    <cellStyle name="Normal 18 7 4" xfId="1323" xr:uid="{00000000-0005-0000-0000-00002B050000}"/>
    <cellStyle name="Normal 18 7 4 2" xfId="1324" xr:uid="{00000000-0005-0000-0000-00002C050000}"/>
    <cellStyle name="Normal 18 7 4 2 2" xfId="1325" xr:uid="{00000000-0005-0000-0000-00002D050000}"/>
    <cellStyle name="Normal 18 7 4 3" xfId="1326" xr:uid="{00000000-0005-0000-0000-00002E050000}"/>
    <cellStyle name="Normal 18 7 5" xfId="1327" xr:uid="{00000000-0005-0000-0000-00002F050000}"/>
    <cellStyle name="Normal 18 7 5 2" xfId="1328" xr:uid="{00000000-0005-0000-0000-000030050000}"/>
    <cellStyle name="Normal 18 7 6" xfId="1329" xr:uid="{00000000-0005-0000-0000-000031050000}"/>
    <cellStyle name="Normal 18 7 6 2" xfId="1330" xr:uid="{00000000-0005-0000-0000-000032050000}"/>
    <cellStyle name="Normal 18 7 7" xfId="1331" xr:uid="{00000000-0005-0000-0000-000033050000}"/>
    <cellStyle name="Normal 18 8" xfId="1332" xr:uid="{00000000-0005-0000-0000-000034050000}"/>
    <cellStyle name="Normal 18 8 2" xfId="1333" xr:uid="{00000000-0005-0000-0000-000035050000}"/>
    <cellStyle name="Normal 18 8 2 2" xfId="1334" xr:uid="{00000000-0005-0000-0000-000036050000}"/>
    <cellStyle name="Normal 18 8 2 2 2" xfId="1335" xr:uid="{00000000-0005-0000-0000-000037050000}"/>
    <cellStyle name="Normal 18 8 2 2 2 2" xfId="1336" xr:uid="{00000000-0005-0000-0000-000038050000}"/>
    <cellStyle name="Normal 18 8 2 2 3" xfId="1337" xr:uid="{00000000-0005-0000-0000-000039050000}"/>
    <cellStyle name="Normal 18 8 2 3" xfId="1338" xr:uid="{00000000-0005-0000-0000-00003A050000}"/>
    <cellStyle name="Normal 18 8 2 3 2" xfId="1339" xr:uid="{00000000-0005-0000-0000-00003B050000}"/>
    <cellStyle name="Normal 18 8 2 3 2 2" xfId="1340" xr:uid="{00000000-0005-0000-0000-00003C050000}"/>
    <cellStyle name="Normal 18 8 2 3 3" xfId="1341" xr:uid="{00000000-0005-0000-0000-00003D050000}"/>
    <cellStyle name="Normal 18 8 2 4" xfId="1342" xr:uid="{00000000-0005-0000-0000-00003E050000}"/>
    <cellStyle name="Normal 18 8 2 4 2" xfId="1343" xr:uid="{00000000-0005-0000-0000-00003F050000}"/>
    <cellStyle name="Normal 18 8 2 5" xfId="1344" xr:uid="{00000000-0005-0000-0000-000040050000}"/>
    <cellStyle name="Normal 18 8 2 5 2" xfId="1345" xr:uid="{00000000-0005-0000-0000-000041050000}"/>
    <cellStyle name="Normal 18 8 2 6" xfId="1346" xr:uid="{00000000-0005-0000-0000-000042050000}"/>
    <cellStyle name="Normal 18 8 3" xfId="1347" xr:uid="{00000000-0005-0000-0000-000043050000}"/>
    <cellStyle name="Normal 18 8 3 2" xfId="1348" xr:uid="{00000000-0005-0000-0000-000044050000}"/>
    <cellStyle name="Normal 18 8 3 2 2" xfId="1349" xr:uid="{00000000-0005-0000-0000-000045050000}"/>
    <cellStyle name="Normal 18 8 3 3" xfId="1350" xr:uid="{00000000-0005-0000-0000-000046050000}"/>
    <cellStyle name="Normal 18 8 4" xfId="1351" xr:uid="{00000000-0005-0000-0000-000047050000}"/>
    <cellStyle name="Normal 18 8 4 2" xfId="1352" xr:uid="{00000000-0005-0000-0000-000048050000}"/>
    <cellStyle name="Normal 18 8 4 2 2" xfId="1353" xr:uid="{00000000-0005-0000-0000-000049050000}"/>
    <cellStyle name="Normal 18 8 4 3" xfId="1354" xr:uid="{00000000-0005-0000-0000-00004A050000}"/>
    <cellStyle name="Normal 18 8 5" xfId="1355" xr:uid="{00000000-0005-0000-0000-00004B050000}"/>
    <cellStyle name="Normal 18 8 5 2" xfId="1356" xr:uid="{00000000-0005-0000-0000-00004C050000}"/>
    <cellStyle name="Normal 18 8 6" xfId="1357" xr:uid="{00000000-0005-0000-0000-00004D050000}"/>
    <cellStyle name="Normal 18 8 6 2" xfId="1358" xr:uid="{00000000-0005-0000-0000-00004E050000}"/>
    <cellStyle name="Normal 18 8 7" xfId="1359" xr:uid="{00000000-0005-0000-0000-00004F050000}"/>
    <cellStyle name="Normal 18 9" xfId="1360" xr:uid="{00000000-0005-0000-0000-000050050000}"/>
    <cellStyle name="Normal 18 9 2" xfId="1361" xr:uid="{00000000-0005-0000-0000-000051050000}"/>
    <cellStyle name="Normal 18 9 2 2" xfId="1362" xr:uid="{00000000-0005-0000-0000-000052050000}"/>
    <cellStyle name="Normal 18 9 2 2 2" xfId="1363" xr:uid="{00000000-0005-0000-0000-000053050000}"/>
    <cellStyle name="Normal 18 9 2 3" xfId="1364" xr:uid="{00000000-0005-0000-0000-000054050000}"/>
    <cellStyle name="Normal 18 9 3" xfId="1365" xr:uid="{00000000-0005-0000-0000-000055050000}"/>
    <cellStyle name="Normal 18 9 3 2" xfId="1366" xr:uid="{00000000-0005-0000-0000-000056050000}"/>
    <cellStyle name="Normal 18 9 3 2 2" xfId="1367" xr:uid="{00000000-0005-0000-0000-000057050000}"/>
    <cellStyle name="Normal 18 9 3 3" xfId="1368" xr:uid="{00000000-0005-0000-0000-000058050000}"/>
    <cellStyle name="Normal 18 9 4" xfId="1369" xr:uid="{00000000-0005-0000-0000-000059050000}"/>
    <cellStyle name="Normal 18 9 4 2" xfId="1370" xr:uid="{00000000-0005-0000-0000-00005A050000}"/>
    <cellStyle name="Normal 18 9 5" xfId="1371" xr:uid="{00000000-0005-0000-0000-00005B050000}"/>
    <cellStyle name="Normal 18 9 5 2" xfId="1372" xr:uid="{00000000-0005-0000-0000-00005C050000}"/>
    <cellStyle name="Normal 18 9 6" xfId="1373" xr:uid="{00000000-0005-0000-0000-00005D050000}"/>
    <cellStyle name="Normal 19" xfId="1374" xr:uid="{00000000-0005-0000-0000-00005E050000}"/>
    <cellStyle name="Normal 19 2" xfId="1375" xr:uid="{00000000-0005-0000-0000-00005F050000}"/>
    <cellStyle name="Normal 19 3" xfId="1376" xr:uid="{00000000-0005-0000-0000-000060050000}"/>
    <cellStyle name="Normal 19 4" xfId="1377" xr:uid="{00000000-0005-0000-0000-000061050000}"/>
    <cellStyle name="Normal 2" xfId="1378" xr:uid="{00000000-0005-0000-0000-000062050000}"/>
    <cellStyle name="Normal 2 10" xfId="1379" xr:uid="{00000000-0005-0000-0000-000063050000}"/>
    <cellStyle name="Normal 2 10 2" xfId="1380" xr:uid="{00000000-0005-0000-0000-000064050000}"/>
    <cellStyle name="Normal 2 10 2 2" xfId="1381" xr:uid="{00000000-0005-0000-0000-000065050000}"/>
    <cellStyle name="Normal 2 11" xfId="1382" xr:uid="{00000000-0005-0000-0000-000066050000}"/>
    <cellStyle name="Normal 2 11 2" xfId="1383" xr:uid="{00000000-0005-0000-0000-000067050000}"/>
    <cellStyle name="Normal 2 12" xfId="1384" xr:uid="{00000000-0005-0000-0000-000068050000}"/>
    <cellStyle name="Normal 2 13" xfId="1385" xr:uid="{00000000-0005-0000-0000-000069050000}"/>
    <cellStyle name="Normal 2 13 2" xfId="1386" xr:uid="{00000000-0005-0000-0000-00006A050000}"/>
    <cellStyle name="Normal 2 14" xfId="1387" xr:uid="{00000000-0005-0000-0000-00006B050000}"/>
    <cellStyle name="Normal 2 14 2" xfId="1388" xr:uid="{00000000-0005-0000-0000-00006C050000}"/>
    <cellStyle name="Normal 2 15" xfId="1389" xr:uid="{00000000-0005-0000-0000-00006D050000}"/>
    <cellStyle name="Normal 2 16" xfId="1390" xr:uid="{00000000-0005-0000-0000-00006E050000}"/>
    <cellStyle name="Normal 2 16 2" xfId="1391" xr:uid="{00000000-0005-0000-0000-00006F050000}"/>
    <cellStyle name="Normal 2 2" xfId="1392" xr:uid="{00000000-0005-0000-0000-000070050000}"/>
    <cellStyle name="Normal 2 2 2" xfId="1393" xr:uid="{00000000-0005-0000-0000-000071050000}"/>
    <cellStyle name="Normal 2 2 2 2" xfId="1394" xr:uid="{00000000-0005-0000-0000-000072050000}"/>
    <cellStyle name="Normal 2 2 2 2 2" xfId="1395" xr:uid="{00000000-0005-0000-0000-000073050000}"/>
    <cellStyle name="Normal 2 2 2 3" xfId="1396" xr:uid="{00000000-0005-0000-0000-000074050000}"/>
    <cellStyle name="Normal 2 2 2 3 2" xfId="1397" xr:uid="{00000000-0005-0000-0000-000075050000}"/>
    <cellStyle name="Normal 2 2 2 4" xfId="1398" xr:uid="{00000000-0005-0000-0000-000076050000}"/>
    <cellStyle name="Normal 2 2 3" xfId="1399" xr:uid="{00000000-0005-0000-0000-000077050000}"/>
    <cellStyle name="Normal 2 2 3 2" xfId="1400" xr:uid="{00000000-0005-0000-0000-000078050000}"/>
    <cellStyle name="Normal 2 2 3 3" xfId="1401" xr:uid="{00000000-0005-0000-0000-000079050000}"/>
    <cellStyle name="Normal 2 2 4" xfId="1402" xr:uid="{00000000-0005-0000-0000-00007A050000}"/>
    <cellStyle name="Normal 2 2 4 2" xfId="1403" xr:uid="{00000000-0005-0000-0000-00007B050000}"/>
    <cellStyle name="Normal 2 2 4 2 2" xfId="1404" xr:uid="{00000000-0005-0000-0000-00007C050000}"/>
    <cellStyle name="Normal 2 2 4 3" xfId="1405" xr:uid="{00000000-0005-0000-0000-00007D050000}"/>
    <cellStyle name="Normal 2 2 5" xfId="1406" xr:uid="{00000000-0005-0000-0000-00007E050000}"/>
    <cellStyle name="Normal 2 2 5 2" xfId="1407" xr:uid="{00000000-0005-0000-0000-00007F050000}"/>
    <cellStyle name="Normal 2 3" xfId="1408" xr:uid="{00000000-0005-0000-0000-000080050000}"/>
    <cellStyle name="Normal 2 3 2" xfId="1409" xr:uid="{00000000-0005-0000-0000-000081050000}"/>
    <cellStyle name="Normal 2 3 2 2" xfId="1410" xr:uid="{00000000-0005-0000-0000-000082050000}"/>
    <cellStyle name="Normal 2 3 3" xfId="1411" xr:uid="{00000000-0005-0000-0000-000083050000}"/>
    <cellStyle name="Normal 2 3 4" xfId="1412" xr:uid="{00000000-0005-0000-0000-000084050000}"/>
    <cellStyle name="Normal 2 3 5" xfId="1413" xr:uid="{00000000-0005-0000-0000-000085050000}"/>
    <cellStyle name="Normal 2 3 6" xfId="1414" xr:uid="{00000000-0005-0000-0000-000086050000}"/>
    <cellStyle name="Normal 2 4" xfId="1415" xr:uid="{00000000-0005-0000-0000-000087050000}"/>
    <cellStyle name="Normal 2 4 2" xfId="1416" xr:uid="{00000000-0005-0000-0000-000088050000}"/>
    <cellStyle name="Normal 2 4 2 2" xfId="1417" xr:uid="{00000000-0005-0000-0000-000089050000}"/>
    <cellStyle name="Normal 2 4 3" xfId="1418" xr:uid="{00000000-0005-0000-0000-00008A050000}"/>
    <cellStyle name="Normal 2 4 4" xfId="1419" xr:uid="{00000000-0005-0000-0000-00008B050000}"/>
    <cellStyle name="Normal 2 4 5" xfId="1420" xr:uid="{00000000-0005-0000-0000-00008C050000}"/>
    <cellStyle name="Normal 2 4 6" xfId="1421" xr:uid="{00000000-0005-0000-0000-00008D050000}"/>
    <cellStyle name="Normal 2 5" xfId="1422" xr:uid="{00000000-0005-0000-0000-00008E050000}"/>
    <cellStyle name="Normal 2 5 2" xfId="1423" xr:uid="{00000000-0005-0000-0000-00008F050000}"/>
    <cellStyle name="Normal 2 6" xfId="1424" xr:uid="{00000000-0005-0000-0000-000090050000}"/>
    <cellStyle name="Normal 2 7" xfId="1425" xr:uid="{00000000-0005-0000-0000-000091050000}"/>
    <cellStyle name="Normal 2 8" xfId="1426" xr:uid="{00000000-0005-0000-0000-000092050000}"/>
    <cellStyle name="Normal 2 8 2" xfId="1427" xr:uid="{00000000-0005-0000-0000-000093050000}"/>
    <cellStyle name="Normal 2 9" xfId="1428" xr:uid="{00000000-0005-0000-0000-000094050000}"/>
    <cellStyle name="Normal 2 9 2" xfId="1429" xr:uid="{00000000-0005-0000-0000-000095050000}"/>
    <cellStyle name="Normal 20" xfId="1430" xr:uid="{00000000-0005-0000-0000-000096050000}"/>
    <cellStyle name="Normal 20 2" xfId="1431" xr:uid="{00000000-0005-0000-0000-000097050000}"/>
    <cellStyle name="Normal 20 3" xfId="1432" xr:uid="{00000000-0005-0000-0000-000098050000}"/>
    <cellStyle name="Normal 20 4" xfId="1433" xr:uid="{00000000-0005-0000-0000-000099050000}"/>
    <cellStyle name="Normal 21" xfId="1434" xr:uid="{00000000-0005-0000-0000-00009A050000}"/>
    <cellStyle name="Normal 21 2" xfId="1435" xr:uid="{00000000-0005-0000-0000-00009B050000}"/>
    <cellStyle name="Normal 21 3" xfId="1436" xr:uid="{00000000-0005-0000-0000-00009C050000}"/>
    <cellStyle name="Normal 21 4" xfId="1437" xr:uid="{00000000-0005-0000-0000-00009D050000}"/>
    <cellStyle name="Normal 22" xfId="1438" xr:uid="{00000000-0005-0000-0000-00009E050000}"/>
    <cellStyle name="Normal 22 2" xfId="1439" xr:uid="{00000000-0005-0000-0000-00009F050000}"/>
    <cellStyle name="Normal 22 3" xfId="1440" xr:uid="{00000000-0005-0000-0000-0000A0050000}"/>
    <cellStyle name="Normal 22 4" xfId="1441" xr:uid="{00000000-0005-0000-0000-0000A1050000}"/>
    <cellStyle name="Normal 23" xfId="1442" xr:uid="{00000000-0005-0000-0000-0000A2050000}"/>
    <cellStyle name="Normal 23 2" xfId="1443" xr:uid="{00000000-0005-0000-0000-0000A3050000}"/>
    <cellStyle name="Normal 23 3" xfId="1444" xr:uid="{00000000-0005-0000-0000-0000A4050000}"/>
    <cellStyle name="Normal 23 4" xfId="1445" xr:uid="{00000000-0005-0000-0000-0000A5050000}"/>
    <cellStyle name="Normal 24" xfId="1446" xr:uid="{00000000-0005-0000-0000-0000A6050000}"/>
    <cellStyle name="Normal 24 2" xfId="1447" xr:uid="{00000000-0005-0000-0000-0000A7050000}"/>
    <cellStyle name="Normal 24 3" xfId="1448" xr:uid="{00000000-0005-0000-0000-0000A8050000}"/>
    <cellStyle name="Normal 24 4" xfId="1449" xr:uid="{00000000-0005-0000-0000-0000A9050000}"/>
    <cellStyle name="Normal 25" xfId="1450" xr:uid="{00000000-0005-0000-0000-0000AA050000}"/>
    <cellStyle name="Normal 25 2" xfId="1451" xr:uid="{00000000-0005-0000-0000-0000AB050000}"/>
    <cellStyle name="Normal 25 3" xfId="1452" xr:uid="{00000000-0005-0000-0000-0000AC050000}"/>
    <cellStyle name="Normal 25 4" xfId="1453" xr:uid="{00000000-0005-0000-0000-0000AD050000}"/>
    <cellStyle name="Normal 26" xfId="1454" xr:uid="{00000000-0005-0000-0000-0000AE050000}"/>
    <cellStyle name="Normal 26 2" xfId="1455" xr:uid="{00000000-0005-0000-0000-0000AF050000}"/>
    <cellStyle name="Normal 26 3" xfId="1456" xr:uid="{00000000-0005-0000-0000-0000B0050000}"/>
    <cellStyle name="Normal 26 4" xfId="1457" xr:uid="{00000000-0005-0000-0000-0000B1050000}"/>
    <cellStyle name="Normal 27" xfId="1458" xr:uid="{00000000-0005-0000-0000-0000B2050000}"/>
    <cellStyle name="Normal 27 2" xfId="1459" xr:uid="{00000000-0005-0000-0000-0000B3050000}"/>
    <cellStyle name="Normal 28" xfId="1460" xr:uid="{00000000-0005-0000-0000-0000B4050000}"/>
    <cellStyle name="Normal 28 2" xfId="1461" xr:uid="{00000000-0005-0000-0000-0000B5050000}"/>
    <cellStyle name="Normal 29" xfId="1462" xr:uid="{00000000-0005-0000-0000-0000B6050000}"/>
    <cellStyle name="Normal 29 2" xfId="1463" xr:uid="{00000000-0005-0000-0000-0000B7050000}"/>
    <cellStyle name="Normal 3" xfId="1464" xr:uid="{00000000-0005-0000-0000-0000B8050000}"/>
    <cellStyle name="Normal 3 10" xfId="1465" xr:uid="{00000000-0005-0000-0000-0000B9050000}"/>
    <cellStyle name="Normal 3 10 2" xfId="1466" xr:uid="{00000000-0005-0000-0000-0000BA050000}"/>
    <cellStyle name="Normal 3 11" xfId="1467" xr:uid="{00000000-0005-0000-0000-0000BB050000}"/>
    <cellStyle name="Normal 3 12" xfId="1468" xr:uid="{00000000-0005-0000-0000-0000BC050000}"/>
    <cellStyle name="Normal 3 13" xfId="1925" xr:uid="{453694A4-D4AE-4A32-9027-7E8CE55BE717}"/>
    <cellStyle name="Normal 3 2" xfId="1469" xr:uid="{00000000-0005-0000-0000-0000BD050000}"/>
    <cellStyle name="Normal 3 2 2" xfId="1470" xr:uid="{00000000-0005-0000-0000-0000BE050000}"/>
    <cellStyle name="Normal 3 2 2 2" xfId="1471" xr:uid="{00000000-0005-0000-0000-0000BF050000}"/>
    <cellStyle name="Normal 3 2 3" xfId="1472" xr:uid="{00000000-0005-0000-0000-0000C0050000}"/>
    <cellStyle name="Normal 3 2 4" xfId="1473" xr:uid="{00000000-0005-0000-0000-0000C1050000}"/>
    <cellStyle name="Normal 3 2 5" xfId="1926" xr:uid="{07E5F0A5-773D-470D-9F70-7DAE6CA17C56}"/>
    <cellStyle name="Normal 3 3" xfId="1474" xr:uid="{00000000-0005-0000-0000-0000C2050000}"/>
    <cellStyle name="Normal 3 3 2" xfId="1475" xr:uid="{00000000-0005-0000-0000-0000C3050000}"/>
    <cellStyle name="Normal 3 3 3" xfId="1476" xr:uid="{00000000-0005-0000-0000-0000C4050000}"/>
    <cellStyle name="Normal 3 3 4" xfId="1477" xr:uid="{00000000-0005-0000-0000-0000C5050000}"/>
    <cellStyle name="Normal 3 3 5" xfId="1918" xr:uid="{1212050B-A4B3-4FF1-8AA7-AD82E66C077C}"/>
    <cellStyle name="Normal 3 4" xfId="1478" xr:uid="{00000000-0005-0000-0000-0000C6050000}"/>
    <cellStyle name="Normal 3 4 2" xfId="1479" xr:uid="{00000000-0005-0000-0000-0000C7050000}"/>
    <cellStyle name="Normal 3 5" xfId="1480" xr:uid="{00000000-0005-0000-0000-0000C8050000}"/>
    <cellStyle name="Normal 3 5 2" xfId="1481" xr:uid="{00000000-0005-0000-0000-0000C9050000}"/>
    <cellStyle name="Normal 3 6" xfId="1482" xr:uid="{00000000-0005-0000-0000-0000CA050000}"/>
    <cellStyle name="Normal 3 6 2" xfId="1483" xr:uid="{00000000-0005-0000-0000-0000CB050000}"/>
    <cellStyle name="Normal 3 7" xfId="1484" xr:uid="{00000000-0005-0000-0000-0000CC050000}"/>
    <cellStyle name="Normal 3 8" xfId="1485" xr:uid="{00000000-0005-0000-0000-0000CD050000}"/>
    <cellStyle name="Normal 3 9" xfId="1486" xr:uid="{00000000-0005-0000-0000-0000CE050000}"/>
    <cellStyle name="Normal 3 9 2" xfId="1487" xr:uid="{00000000-0005-0000-0000-0000CF050000}"/>
    <cellStyle name="Normal 3 9 2 2" xfId="1488" xr:uid="{00000000-0005-0000-0000-0000D0050000}"/>
    <cellStyle name="Normal 30" xfId="1489" xr:uid="{00000000-0005-0000-0000-0000D1050000}"/>
    <cellStyle name="Normal 31" xfId="1490" xr:uid="{00000000-0005-0000-0000-0000D2050000}"/>
    <cellStyle name="Normal 32" xfId="1491" xr:uid="{00000000-0005-0000-0000-0000D3050000}"/>
    <cellStyle name="Normal 32 2" xfId="1492" xr:uid="{00000000-0005-0000-0000-0000D4050000}"/>
    <cellStyle name="Normal 32 2 2" xfId="1493" xr:uid="{00000000-0005-0000-0000-0000D5050000}"/>
    <cellStyle name="Normal 32 3" xfId="1494" xr:uid="{00000000-0005-0000-0000-0000D6050000}"/>
    <cellStyle name="Normal 33" xfId="1495" xr:uid="{00000000-0005-0000-0000-0000D7050000}"/>
    <cellStyle name="Normal 34" xfId="1496" xr:uid="{00000000-0005-0000-0000-0000D8050000}"/>
    <cellStyle name="Normal 4" xfId="1497" xr:uid="{00000000-0005-0000-0000-0000D9050000}"/>
    <cellStyle name="Normal 4 10" xfId="1498" xr:uid="{00000000-0005-0000-0000-0000DA050000}"/>
    <cellStyle name="Normal 4 11" xfId="1499" xr:uid="{00000000-0005-0000-0000-0000DB050000}"/>
    <cellStyle name="Normal 4 12" xfId="1927" xr:uid="{356F997F-2BB3-4554-A5D8-550329EAECBA}"/>
    <cellStyle name="Normal 4 2" xfId="1500" xr:uid="{00000000-0005-0000-0000-0000DC050000}"/>
    <cellStyle name="Normal 4 2 2" xfId="1501" xr:uid="{00000000-0005-0000-0000-0000DD050000}"/>
    <cellStyle name="Normal 4 2 2 2" xfId="1502" xr:uid="{00000000-0005-0000-0000-0000DE050000}"/>
    <cellStyle name="Normal 4 2 3" xfId="1503" xr:uid="{00000000-0005-0000-0000-0000DF050000}"/>
    <cellStyle name="Normal 4 2 4" xfId="1504" xr:uid="{00000000-0005-0000-0000-0000E0050000}"/>
    <cellStyle name="Normal 4 2 5" xfId="1505" xr:uid="{00000000-0005-0000-0000-0000E1050000}"/>
    <cellStyle name="Normal 4 3" xfId="1506" xr:uid="{00000000-0005-0000-0000-0000E2050000}"/>
    <cellStyle name="Normal 4 3 2" xfId="1507" xr:uid="{00000000-0005-0000-0000-0000E3050000}"/>
    <cellStyle name="Normal 4 3 3" xfId="1508" xr:uid="{00000000-0005-0000-0000-0000E4050000}"/>
    <cellStyle name="Normal 4 3 4" xfId="1509" xr:uid="{00000000-0005-0000-0000-0000E5050000}"/>
    <cellStyle name="Normal 4 4" xfId="1510" xr:uid="{00000000-0005-0000-0000-0000E6050000}"/>
    <cellStyle name="Normal 4 4 2" xfId="1511" xr:uid="{00000000-0005-0000-0000-0000E7050000}"/>
    <cellStyle name="Normal 4 5" xfId="1512" xr:uid="{00000000-0005-0000-0000-0000E8050000}"/>
    <cellStyle name="Normal 4 5 2" xfId="1513" xr:uid="{00000000-0005-0000-0000-0000E9050000}"/>
    <cellStyle name="Normal 4 6" xfId="1514" xr:uid="{00000000-0005-0000-0000-0000EA050000}"/>
    <cellStyle name="Normal 4 6 2" xfId="1515" xr:uid="{00000000-0005-0000-0000-0000EB050000}"/>
    <cellStyle name="Normal 4 7" xfId="1516" xr:uid="{00000000-0005-0000-0000-0000EC050000}"/>
    <cellStyle name="Normal 4 7 2" xfId="1517" xr:uid="{00000000-0005-0000-0000-0000ED050000}"/>
    <cellStyle name="Normal 4 7 2 2" xfId="1518" xr:uid="{00000000-0005-0000-0000-0000EE050000}"/>
    <cellStyle name="Normal 4 7 2 2 2" xfId="1519" xr:uid="{00000000-0005-0000-0000-0000EF050000}"/>
    <cellStyle name="Normal 4 7 2 3" xfId="1520" xr:uid="{00000000-0005-0000-0000-0000F0050000}"/>
    <cellStyle name="Normal 4 8" xfId="1521" xr:uid="{00000000-0005-0000-0000-0000F1050000}"/>
    <cellStyle name="Normal 4 9" xfId="1522" xr:uid="{00000000-0005-0000-0000-0000F2050000}"/>
    <cellStyle name="Normal 5" xfId="1523" xr:uid="{00000000-0005-0000-0000-0000F3050000}"/>
    <cellStyle name="Normal 5 10" xfId="1524" xr:uid="{00000000-0005-0000-0000-0000F4050000}"/>
    <cellStyle name="Normal 5 2" xfId="1525" xr:uid="{00000000-0005-0000-0000-0000F5050000}"/>
    <cellStyle name="Normal 5 2 2" xfId="1526" xr:uid="{00000000-0005-0000-0000-0000F6050000}"/>
    <cellStyle name="Normal 5 2 2 2" xfId="1527" xr:uid="{00000000-0005-0000-0000-0000F7050000}"/>
    <cellStyle name="Normal 5 2 2 3" xfId="1528" xr:uid="{00000000-0005-0000-0000-0000F8050000}"/>
    <cellStyle name="Normal 5 2 3" xfId="1529" xr:uid="{00000000-0005-0000-0000-0000F9050000}"/>
    <cellStyle name="Normal 5 2 4" xfId="1530" xr:uid="{00000000-0005-0000-0000-0000FA050000}"/>
    <cellStyle name="Normal 5 3" xfId="1531" xr:uid="{00000000-0005-0000-0000-0000FB050000}"/>
    <cellStyle name="Normal 5 3 2" xfId="1532" xr:uid="{00000000-0005-0000-0000-0000FC050000}"/>
    <cellStyle name="Normal 5 3 2 2" xfId="1533" xr:uid="{00000000-0005-0000-0000-0000FD050000}"/>
    <cellStyle name="Normal 5 3 3" xfId="1534" xr:uid="{00000000-0005-0000-0000-0000FE050000}"/>
    <cellStyle name="Normal 5 4" xfId="1535" xr:uid="{00000000-0005-0000-0000-0000FF050000}"/>
    <cellStyle name="Normal 5 4 2" xfId="1536" xr:uid="{00000000-0005-0000-0000-000000060000}"/>
    <cellStyle name="Normal 5 5" xfId="1537" xr:uid="{00000000-0005-0000-0000-000001060000}"/>
    <cellStyle name="Normal 5 5 2" xfId="1538" xr:uid="{00000000-0005-0000-0000-000002060000}"/>
    <cellStyle name="Normal 5 6" xfId="1539" xr:uid="{00000000-0005-0000-0000-000003060000}"/>
    <cellStyle name="Normal 5 6 2" xfId="1540" xr:uid="{00000000-0005-0000-0000-000004060000}"/>
    <cellStyle name="Normal 5 7" xfId="1541" xr:uid="{00000000-0005-0000-0000-000005060000}"/>
    <cellStyle name="Normal 5 8" xfId="1542" xr:uid="{00000000-0005-0000-0000-000006060000}"/>
    <cellStyle name="Normal 5 9" xfId="1543" xr:uid="{00000000-0005-0000-0000-000007060000}"/>
    <cellStyle name="Normal 6" xfId="1544" xr:uid="{00000000-0005-0000-0000-000008060000}"/>
    <cellStyle name="Normal 6 10" xfId="1545" xr:uid="{00000000-0005-0000-0000-000009060000}"/>
    <cellStyle name="Normal 6 11" xfId="1546" xr:uid="{00000000-0005-0000-0000-00000A060000}"/>
    <cellStyle name="Normal 6 12" xfId="1547" xr:uid="{00000000-0005-0000-0000-00000B060000}"/>
    <cellStyle name="Normal 6 2" xfId="1548" xr:uid="{00000000-0005-0000-0000-00000C060000}"/>
    <cellStyle name="Normal 6 2 10" xfId="1549" xr:uid="{00000000-0005-0000-0000-00000D060000}"/>
    <cellStyle name="Normal 6 2 11" xfId="1550" xr:uid="{00000000-0005-0000-0000-00000E060000}"/>
    <cellStyle name="Normal 6 2 2" xfId="1551" xr:uid="{00000000-0005-0000-0000-00000F060000}"/>
    <cellStyle name="Normal 6 2 2 2" xfId="1552" xr:uid="{00000000-0005-0000-0000-000010060000}"/>
    <cellStyle name="Normal 6 2 3" xfId="1553" xr:uid="{00000000-0005-0000-0000-000011060000}"/>
    <cellStyle name="Normal 6 2 3 2" xfId="1554" xr:uid="{00000000-0005-0000-0000-000012060000}"/>
    <cellStyle name="Normal 6 2 4" xfId="1555" xr:uid="{00000000-0005-0000-0000-000013060000}"/>
    <cellStyle name="Normal 6 2 4 2" xfId="1556" xr:uid="{00000000-0005-0000-0000-000014060000}"/>
    <cellStyle name="Normal 6 2 4 2 2" xfId="1557" xr:uid="{00000000-0005-0000-0000-000015060000}"/>
    <cellStyle name="Normal 6 2 4 2 2 2" xfId="1558" xr:uid="{00000000-0005-0000-0000-000016060000}"/>
    <cellStyle name="Normal 6 2 4 2 3" xfId="1559" xr:uid="{00000000-0005-0000-0000-000017060000}"/>
    <cellStyle name="Normal 6 2 4 3" xfId="1560" xr:uid="{00000000-0005-0000-0000-000018060000}"/>
    <cellStyle name="Normal 6 2 4 3 2" xfId="1561" xr:uid="{00000000-0005-0000-0000-000019060000}"/>
    <cellStyle name="Normal 6 2 4 4" xfId="1562" xr:uid="{00000000-0005-0000-0000-00001A060000}"/>
    <cellStyle name="Normal 6 2 4 4 2" xfId="1563" xr:uid="{00000000-0005-0000-0000-00001B060000}"/>
    <cellStyle name="Normal 6 2 4 5" xfId="1564" xr:uid="{00000000-0005-0000-0000-00001C060000}"/>
    <cellStyle name="Normal 6 2 5" xfId="1565" xr:uid="{00000000-0005-0000-0000-00001D060000}"/>
    <cellStyle name="Normal 6 2 5 2" xfId="1566" xr:uid="{00000000-0005-0000-0000-00001E060000}"/>
    <cellStyle name="Normal 6 2 5 2 2" xfId="1567" xr:uid="{00000000-0005-0000-0000-00001F060000}"/>
    <cellStyle name="Normal 6 2 5 2 2 2" xfId="1568" xr:uid="{00000000-0005-0000-0000-000020060000}"/>
    <cellStyle name="Normal 6 2 5 2 3" xfId="1569" xr:uid="{00000000-0005-0000-0000-000021060000}"/>
    <cellStyle name="Normal 6 2 5 3" xfId="1570" xr:uid="{00000000-0005-0000-0000-000022060000}"/>
    <cellStyle name="Normal 6 2 5 3 2" xfId="1571" xr:uid="{00000000-0005-0000-0000-000023060000}"/>
    <cellStyle name="Normal 6 2 5 4" xfId="1572" xr:uid="{00000000-0005-0000-0000-000024060000}"/>
    <cellStyle name="Normal 6 2 5 4 2" xfId="1573" xr:uid="{00000000-0005-0000-0000-000025060000}"/>
    <cellStyle name="Normal 6 2 5 5" xfId="1574" xr:uid="{00000000-0005-0000-0000-000026060000}"/>
    <cellStyle name="Normal 6 2 6" xfId="1575" xr:uid="{00000000-0005-0000-0000-000027060000}"/>
    <cellStyle name="Normal 6 2 6 2" xfId="1576" xr:uid="{00000000-0005-0000-0000-000028060000}"/>
    <cellStyle name="Normal 6 2 6 2 2" xfId="1577" xr:uid="{00000000-0005-0000-0000-000029060000}"/>
    <cellStyle name="Normal 6 2 6 3" xfId="1578" xr:uid="{00000000-0005-0000-0000-00002A060000}"/>
    <cellStyle name="Normal 6 2 6 3 2" xfId="1579" xr:uid="{00000000-0005-0000-0000-00002B060000}"/>
    <cellStyle name="Normal 6 2 6 4" xfId="1580" xr:uid="{00000000-0005-0000-0000-00002C060000}"/>
    <cellStyle name="Normal 6 2 7" xfId="1581" xr:uid="{00000000-0005-0000-0000-00002D060000}"/>
    <cellStyle name="Normal 6 2 7 2" xfId="1582" xr:uid="{00000000-0005-0000-0000-00002E060000}"/>
    <cellStyle name="Normal 6 2 8" xfId="1583" xr:uid="{00000000-0005-0000-0000-00002F060000}"/>
    <cellStyle name="Normal 6 2 9" xfId="1584" xr:uid="{00000000-0005-0000-0000-000030060000}"/>
    <cellStyle name="Normal 6 3" xfId="1585" xr:uid="{00000000-0005-0000-0000-000031060000}"/>
    <cellStyle name="Normal 6 3 2" xfId="1586" xr:uid="{00000000-0005-0000-0000-000032060000}"/>
    <cellStyle name="Normal 6 3 2 2" xfId="1587" xr:uid="{00000000-0005-0000-0000-000033060000}"/>
    <cellStyle name="Normal 6 3 2 2 2" xfId="1588" xr:uid="{00000000-0005-0000-0000-000034060000}"/>
    <cellStyle name="Normal 6 3 2 2 2 2" xfId="1589" xr:uid="{00000000-0005-0000-0000-000035060000}"/>
    <cellStyle name="Normal 6 3 2 2 3" xfId="1590" xr:uid="{00000000-0005-0000-0000-000036060000}"/>
    <cellStyle name="Normal 6 3 2 3" xfId="1591" xr:uid="{00000000-0005-0000-0000-000037060000}"/>
    <cellStyle name="Normal 6 3 2 3 2" xfId="1592" xr:uid="{00000000-0005-0000-0000-000038060000}"/>
    <cellStyle name="Normal 6 3 2 4" xfId="1593" xr:uid="{00000000-0005-0000-0000-000039060000}"/>
    <cellStyle name="Normal 6 3 2 4 2" xfId="1594" xr:uid="{00000000-0005-0000-0000-00003A060000}"/>
    <cellStyle name="Normal 6 3 2 5" xfId="1595" xr:uid="{00000000-0005-0000-0000-00003B060000}"/>
    <cellStyle name="Normal 6 3 3" xfId="1596" xr:uid="{00000000-0005-0000-0000-00003C060000}"/>
    <cellStyle name="Normal 6 3 3 2" xfId="1597" xr:uid="{00000000-0005-0000-0000-00003D060000}"/>
    <cellStyle name="Normal 6 3 3 2 2" xfId="1598" xr:uid="{00000000-0005-0000-0000-00003E060000}"/>
    <cellStyle name="Normal 6 3 3 3" xfId="1599" xr:uid="{00000000-0005-0000-0000-00003F060000}"/>
    <cellStyle name="Normal 6 3 3 3 2" xfId="1600" xr:uid="{00000000-0005-0000-0000-000040060000}"/>
    <cellStyle name="Normal 6 3 3 4" xfId="1601" xr:uid="{00000000-0005-0000-0000-000041060000}"/>
    <cellStyle name="Normal 6 3 4" xfId="1602" xr:uid="{00000000-0005-0000-0000-000042060000}"/>
    <cellStyle name="Normal 6 4" xfId="1603" xr:uid="{00000000-0005-0000-0000-000043060000}"/>
    <cellStyle name="Normal 6 4 2" xfId="1604" xr:uid="{00000000-0005-0000-0000-000044060000}"/>
    <cellStyle name="Normal 6 4 3" xfId="1605" xr:uid="{00000000-0005-0000-0000-000045060000}"/>
    <cellStyle name="Normal 6 5" xfId="1606" xr:uid="{00000000-0005-0000-0000-000046060000}"/>
    <cellStyle name="Normal 6 5 2" xfId="1607" xr:uid="{00000000-0005-0000-0000-000047060000}"/>
    <cellStyle name="Normal 6 6" xfId="1608" xr:uid="{00000000-0005-0000-0000-000048060000}"/>
    <cellStyle name="Normal 6 6 2" xfId="1609" xr:uid="{00000000-0005-0000-0000-000049060000}"/>
    <cellStyle name="Normal 6 6 2 2" xfId="1610" xr:uid="{00000000-0005-0000-0000-00004A060000}"/>
    <cellStyle name="Normal 6 6 2 2 2" xfId="1611" xr:uid="{00000000-0005-0000-0000-00004B060000}"/>
    <cellStyle name="Normal 6 6 2 3" xfId="1612" xr:uid="{00000000-0005-0000-0000-00004C060000}"/>
    <cellStyle name="Normal 6 6 3" xfId="1613" xr:uid="{00000000-0005-0000-0000-00004D060000}"/>
    <cellStyle name="Normal 6 6 3 2" xfId="1614" xr:uid="{00000000-0005-0000-0000-00004E060000}"/>
    <cellStyle name="Normal 6 6 3 2 2" xfId="1615" xr:uid="{00000000-0005-0000-0000-00004F060000}"/>
    <cellStyle name="Normal 6 6 3 3" xfId="1616" xr:uid="{00000000-0005-0000-0000-000050060000}"/>
    <cellStyle name="Normal 6 6 4" xfId="1617" xr:uid="{00000000-0005-0000-0000-000051060000}"/>
    <cellStyle name="Normal 6 6 4 2" xfId="1618" xr:uid="{00000000-0005-0000-0000-000052060000}"/>
    <cellStyle name="Normal 6 6 5" xfId="1619" xr:uid="{00000000-0005-0000-0000-000053060000}"/>
    <cellStyle name="Normal 6 6 5 2" xfId="1620" xr:uid="{00000000-0005-0000-0000-000054060000}"/>
    <cellStyle name="Normal 6 6 6" xfId="1621" xr:uid="{00000000-0005-0000-0000-000055060000}"/>
    <cellStyle name="Normal 6 7" xfId="1622" xr:uid="{00000000-0005-0000-0000-000056060000}"/>
    <cellStyle name="Normal 6 7 2" xfId="1623" xr:uid="{00000000-0005-0000-0000-000057060000}"/>
    <cellStyle name="Normal 6 7 2 2" xfId="1624" xr:uid="{00000000-0005-0000-0000-000058060000}"/>
    <cellStyle name="Normal 6 7 2 2 2" xfId="1625" xr:uid="{00000000-0005-0000-0000-000059060000}"/>
    <cellStyle name="Normal 6 7 2 3" xfId="1626" xr:uid="{00000000-0005-0000-0000-00005A060000}"/>
    <cellStyle name="Normal 6 7 3" xfId="1627" xr:uid="{00000000-0005-0000-0000-00005B060000}"/>
    <cellStyle name="Normal 6 7 3 2" xfId="1628" xr:uid="{00000000-0005-0000-0000-00005C060000}"/>
    <cellStyle name="Normal 6 7 4" xfId="1629" xr:uid="{00000000-0005-0000-0000-00005D060000}"/>
    <cellStyle name="Normal 6 7 4 2" xfId="1630" xr:uid="{00000000-0005-0000-0000-00005E060000}"/>
    <cellStyle name="Normal 6 7 5" xfId="1631" xr:uid="{00000000-0005-0000-0000-00005F060000}"/>
    <cellStyle name="Normal 6 8" xfId="1632" xr:uid="{00000000-0005-0000-0000-000060060000}"/>
    <cellStyle name="Normal 6 8 2" xfId="1633" xr:uid="{00000000-0005-0000-0000-000061060000}"/>
    <cellStyle name="Normal 6 8 2 2" xfId="1634" xr:uid="{00000000-0005-0000-0000-000062060000}"/>
    <cellStyle name="Normal 6 8 3" xfId="1635" xr:uid="{00000000-0005-0000-0000-000063060000}"/>
    <cellStyle name="Normal 6 8 3 2" xfId="1636" xr:uid="{00000000-0005-0000-0000-000064060000}"/>
    <cellStyle name="Normal 6 8 4" xfId="1637" xr:uid="{00000000-0005-0000-0000-000065060000}"/>
    <cellStyle name="Normal 6 9" xfId="1638" xr:uid="{00000000-0005-0000-0000-000066060000}"/>
    <cellStyle name="Normal 7" xfId="1639" xr:uid="{00000000-0005-0000-0000-000067060000}"/>
    <cellStyle name="Normal 7 2" xfId="1640" xr:uid="{00000000-0005-0000-0000-000068060000}"/>
    <cellStyle name="Normal 7 2 2" xfId="1641" xr:uid="{00000000-0005-0000-0000-000069060000}"/>
    <cellStyle name="Normal 7 2 2 2" xfId="1642" xr:uid="{00000000-0005-0000-0000-00006A060000}"/>
    <cellStyle name="Normal 7 2 3" xfId="1643" xr:uid="{00000000-0005-0000-0000-00006B060000}"/>
    <cellStyle name="Normal 7 3" xfId="1644" xr:uid="{00000000-0005-0000-0000-00006C060000}"/>
    <cellStyle name="Normal 7 3 2" xfId="1645" xr:uid="{00000000-0005-0000-0000-00006D060000}"/>
    <cellStyle name="Normal 7 3 3" xfId="1646" xr:uid="{00000000-0005-0000-0000-00006E060000}"/>
    <cellStyle name="Normal 7 4" xfId="1647" xr:uid="{00000000-0005-0000-0000-00006F060000}"/>
    <cellStyle name="Normal 7 5" xfId="1648" xr:uid="{00000000-0005-0000-0000-000070060000}"/>
    <cellStyle name="Normal 7 6" xfId="1649" xr:uid="{00000000-0005-0000-0000-000071060000}"/>
    <cellStyle name="Normal 7 6 2" xfId="1650" xr:uid="{00000000-0005-0000-0000-000072060000}"/>
    <cellStyle name="Normal 7 7" xfId="1651" xr:uid="{00000000-0005-0000-0000-000073060000}"/>
    <cellStyle name="Normal 7 8" xfId="1652" xr:uid="{00000000-0005-0000-0000-000074060000}"/>
    <cellStyle name="Normal 8" xfId="1653" xr:uid="{00000000-0005-0000-0000-000075060000}"/>
    <cellStyle name="Normal 8 2" xfId="1654" xr:uid="{00000000-0005-0000-0000-000076060000}"/>
    <cellStyle name="Normal 8 2 2" xfId="1655" xr:uid="{00000000-0005-0000-0000-000077060000}"/>
    <cellStyle name="Normal 8 2 3" xfId="1656" xr:uid="{00000000-0005-0000-0000-000078060000}"/>
    <cellStyle name="Normal 8 3" xfId="1657" xr:uid="{00000000-0005-0000-0000-000079060000}"/>
    <cellStyle name="Normal 8 3 2" xfId="1658" xr:uid="{00000000-0005-0000-0000-00007A060000}"/>
    <cellStyle name="Normal 8 3 3" xfId="1659" xr:uid="{00000000-0005-0000-0000-00007B060000}"/>
    <cellStyle name="Normal 8 4" xfId="1660" xr:uid="{00000000-0005-0000-0000-00007C060000}"/>
    <cellStyle name="Normal 8 5" xfId="1661" xr:uid="{00000000-0005-0000-0000-00007D060000}"/>
    <cellStyle name="Normal 9" xfId="1662" xr:uid="{00000000-0005-0000-0000-00007E060000}"/>
    <cellStyle name="Normal 9 2" xfId="1663" xr:uid="{00000000-0005-0000-0000-00007F060000}"/>
    <cellStyle name="Normal 9 2 2" xfId="1664" xr:uid="{00000000-0005-0000-0000-000080060000}"/>
    <cellStyle name="Normal 9 2 3" xfId="1665" xr:uid="{00000000-0005-0000-0000-000081060000}"/>
    <cellStyle name="Normal 9 3" xfId="1666" xr:uid="{00000000-0005-0000-0000-000082060000}"/>
    <cellStyle name="Normal 9 4" xfId="1667" xr:uid="{00000000-0005-0000-0000-000083060000}"/>
    <cellStyle name="Normal 9 5" xfId="1668" xr:uid="{00000000-0005-0000-0000-000084060000}"/>
    <cellStyle name="Normal_Everett Clinic 1998 Audit" xfId="1669" xr:uid="{00000000-0005-0000-0000-000085060000}"/>
    <cellStyle name="NormalCover" xfId="1670" xr:uid="{00000000-0005-0000-0000-000086060000}"/>
    <cellStyle name="Note 2" xfId="1671" xr:uid="{00000000-0005-0000-0000-000087060000}"/>
    <cellStyle name="Note 2 2" xfId="1672" xr:uid="{00000000-0005-0000-0000-000088060000}"/>
    <cellStyle name="Note 2 2 2" xfId="1673" xr:uid="{00000000-0005-0000-0000-000089060000}"/>
    <cellStyle name="Note 2 2 3" xfId="1674" xr:uid="{00000000-0005-0000-0000-00008A060000}"/>
    <cellStyle name="Note 2 2 4" xfId="1675" xr:uid="{00000000-0005-0000-0000-00008B060000}"/>
    <cellStyle name="Note 2 3" xfId="1676" xr:uid="{00000000-0005-0000-0000-00008C060000}"/>
    <cellStyle name="Note 2 4" xfId="1677" xr:uid="{00000000-0005-0000-0000-00008D060000}"/>
    <cellStyle name="Note 2 5" xfId="1678" xr:uid="{00000000-0005-0000-0000-00008E060000}"/>
    <cellStyle name="Note 2 6" xfId="1679" xr:uid="{00000000-0005-0000-0000-00008F060000}"/>
    <cellStyle name="Note 2 7" xfId="1680" xr:uid="{00000000-0005-0000-0000-000090060000}"/>
    <cellStyle name="NoteFundName" xfId="1681" xr:uid="{00000000-0005-0000-0000-000091060000}"/>
    <cellStyle name="NoteHeader" xfId="1682" xr:uid="{00000000-0005-0000-0000-000092060000}"/>
    <cellStyle name="NoteSubHeader" xfId="1683" xr:uid="{00000000-0005-0000-0000-000093060000}"/>
    <cellStyle name="Output" xfId="1684" builtinId="21" customBuiltin="1"/>
    <cellStyle name="Output 2" xfId="1685" xr:uid="{00000000-0005-0000-0000-000095060000}"/>
    <cellStyle name="Output 2 2" xfId="1686" xr:uid="{00000000-0005-0000-0000-000096060000}"/>
    <cellStyle name="Output 2 3" xfId="1687" xr:uid="{00000000-0005-0000-0000-000097060000}"/>
    <cellStyle name="Output 2 4" xfId="1688" xr:uid="{00000000-0005-0000-0000-000098060000}"/>
    <cellStyle name="Percent" xfId="1689" builtinId="5"/>
    <cellStyle name="Percent #" xfId="1690" xr:uid="{00000000-0005-0000-0000-00009A060000}"/>
    <cellStyle name="Percent %" xfId="1691" xr:uid="{00000000-0005-0000-0000-00009B060000}"/>
    <cellStyle name="Percent % 2" xfId="1692" xr:uid="{00000000-0005-0000-0000-00009C060000}"/>
    <cellStyle name="Percent % 3" xfId="1693" xr:uid="{00000000-0005-0000-0000-00009D060000}"/>
    <cellStyle name="Percent % Long Underline" xfId="1694" xr:uid="{00000000-0005-0000-0000-00009E060000}"/>
    <cellStyle name="Percent (%)" xfId="1695" xr:uid="{00000000-0005-0000-0000-00009F060000}"/>
    <cellStyle name="Percent 0.0%" xfId="1696" xr:uid="{00000000-0005-0000-0000-0000A0060000}"/>
    <cellStyle name="Percent 10" xfId="1697" xr:uid="{00000000-0005-0000-0000-0000A1060000}"/>
    <cellStyle name="Percent 10 2" xfId="1698" xr:uid="{00000000-0005-0000-0000-0000A2060000}"/>
    <cellStyle name="Percent 10 3" xfId="1699" xr:uid="{00000000-0005-0000-0000-0000A3060000}"/>
    <cellStyle name="Percent 10 3 2" xfId="1700" xr:uid="{00000000-0005-0000-0000-0000A4060000}"/>
    <cellStyle name="Percent 11" xfId="1701" xr:uid="{00000000-0005-0000-0000-0000A5060000}"/>
    <cellStyle name="Percent 11 2" xfId="1702" xr:uid="{00000000-0005-0000-0000-0000A6060000}"/>
    <cellStyle name="Percent 11 3" xfId="1703" xr:uid="{00000000-0005-0000-0000-0000A7060000}"/>
    <cellStyle name="Percent 11 3 2" xfId="1704" xr:uid="{00000000-0005-0000-0000-0000A8060000}"/>
    <cellStyle name="Percent 12" xfId="1705" xr:uid="{00000000-0005-0000-0000-0000A9060000}"/>
    <cellStyle name="Percent 12 2" xfId="1706" xr:uid="{00000000-0005-0000-0000-0000AA060000}"/>
    <cellStyle name="Percent 12 3" xfId="1707" xr:uid="{00000000-0005-0000-0000-0000AB060000}"/>
    <cellStyle name="Percent 12 3 2" xfId="1708" xr:uid="{00000000-0005-0000-0000-0000AC060000}"/>
    <cellStyle name="Percent 13" xfId="1709" xr:uid="{00000000-0005-0000-0000-0000AD060000}"/>
    <cellStyle name="Percent 13 2" xfId="1710" xr:uid="{00000000-0005-0000-0000-0000AE060000}"/>
    <cellStyle name="Percent 13 3" xfId="1711" xr:uid="{00000000-0005-0000-0000-0000AF060000}"/>
    <cellStyle name="Percent 13 3 2" xfId="1712" xr:uid="{00000000-0005-0000-0000-0000B0060000}"/>
    <cellStyle name="Percent 14" xfId="1713" xr:uid="{00000000-0005-0000-0000-0000B1060000}"/>
    <cellStyle name="Percent 14 2" xfId="1714" xr:uid="{00000000-0005-0000-0000-0000B2060000}"/>
    <cellStyle name="Percent 14 3" xfId="1715" xr:uid="{00000000-0005-0000-0000-0000B3060000}"/>
    <cellStyle name="Percent 14 3 2" xfId="1716" xr:uid="{00000000-0005-0000-0000-0000B4060000}"/>
    <cellStyle name="Percent 15" xfId="1717" xr:uid="{00000000-0005-0000-0000-0000B5060000}"/>
    <cellStyle name="Percent 15 2" xfId="1718" xr:uid="{00000000-0005-0000-0000-0000B6060000}"/>
    <cellStyle name="Percent 15 3" xfId="1719" xr:uid="{00000000-0005-0000-0000-0000B7060000}"/>
    <cellStyle name="Percent 15 3 2" xfId="1720" xr:uid="{00000000-0005-0000-0000-0000B8060000}"/>
    <cellStyle name="Percent 16" xfId="1721" xr:uid="{00000000-0005-0000-0000-0000B9060000}"/>
    <cellStyle name="Percent 16 2" xfId="1722" xr:uid="{00000000-0005-0000-0000-0000BA060000}"/>
    <cellStyle name="Percent 16 2 2" xfId="1723" xr:uid="{00000000-0005-0000-0000-0000BB060000}"/>
    <cellStyle name="Percent 16 2 2 2" xfId="1724" xr:uid="{00000000-0005-0000-0000-0000BC060000}"/>
    <cellStyle name="Percent 16 3" xfId="1725" xr:uid="{00000000-0005-0000-0000-0000BD060000}"/>
    <cellStyle name="Percent 16 3 2" xfId="1726" xr:uid="{00000000-0005-0000-0000-0000BE060000}"/>
    <cellStyle name="Percent 17" xfId="1727" xr:uid="{00000000-0005-0000-0000-0000BF060000}"/>
    <cellStyle name="Percent 17 2" xfId="1728" xr:uid="{00000000-0005-0000-0000-0000C0060000}"/>
    <cellStyle name="Percent 17 2 2" xfId="1729" xr:uid="{00000000-0005-0000-0000-0000C1060000}"/>
    <cellStyle name="Percent 17 2 2 2" xfId="1730" xr:uid="{00000000-0005-0000-0000-0000C2060000}"/>
    <cellStyle name="Percent 17 3" xfId="1731" xr:uid="{00000000-0005-0000-0000-0000C3060000}"/>
    <cellStyle name="Percent 17 3 2" xfId="1732" xr:uid="{00000000-0005-0000-0000-0000C4060000}"/>
    <cellStyle name="Percent 18" xfId="1733" xr:uid="{00000000-0005-0000-0000-0000C5060000}"/>
    <cellStyle name="Percent 18 2" xfId="1734" xr:uid="{00000000-0005-0000-0000-0000C6060000}"/>
    <cellStyle name="Percent 18 2 2" xfId="1735" xr:uid="{00000000-0005-0000-0000-0000C7060000}"/>
    <cellStyle name="Percent 18 2 2 2" xfId="1736" xr:uid="{00000000-0005-0000-0000-0000C8060000}"/>
    <cellStyle name="Percent 18 3" xfId="1737" xr:uid="{00000000-0005-0000-0000-0000C9060000}"/>
    <cellStyle name="Percent 18 3 2" xfId="1738" xr:uid="{00000000-0005-0000-0000-0000CA060000}"/>
    <cellStyle name="Percent 19" xfId="1739" xr:uid="{00000000-0005-0000-0000-0000CB060000}"/>
    <cellStyle name="Percent 19 2" xfId="1740" xr:uid="{00000000-0005-0000-0000-0000CC060000}"/>
    <cellStyle name="Percent 19 2 2" xfId="1741" xr:uid="{00000000-0005-0000-0000-0000CD060000}"/>
    <cellStyle name="Percent 19 3" xfId="1742" xr:uid="{00000000-0005-0000-0000-0000CE060000}"/>
    <cellStyle name="Percent 19 3 2" xfId="1743" xr:uid="{00000000-0005-0000-0000-0000CF060000}"/>
    <cellStyle name="Percent 2" xfId="1744" xr:uid="{00000000-0005-0000-0000-0000D0060000}"/>
    <cellStyle name="Percent 2 10" xfId="1745" xr:uid="{00000000-0005-0000-0000-0000D1060000}"/>
    <cellStyle name="Percent 2 10 2" xfId="1746" xr:uid="{00000000-0005-0000-0000-0000D2060000}"/>
    <cellStyle name="Percent 2 11" xfId="1747" xr:uid="{00000000-0005-0000-0000-0000D3060000}"/>
    <cellStyle name="Percent 2 12" xfId="1928" xr:uid="{BC212DE4-23A1-48E6-8CDC-CA676BA59EE6}"/>
    <cellStyle name="Percent 2 2" xfId="1748" xr:uid="{00000000-0005-0000-0000-0000D4060000}"/>
    <cellStyle name="Percent 2 2 2" xfId="1749" xr:uid="{00000000-0005-0000-0000-0000D5060000}"/>
    <cellStyle name="Percent 2 2 2 2" xfId="1750" xr:uid="{00000000-0005-0000-0000-0000D6060000}"/>
    <cellStyle name="Percent 2 2 3" xfId="1751" xr:uid="{00000000-0005-0000-0000-0000D7060000}"/>
    <cellStyle name="Percent 2 2 3 2" xfId="1752" xr:uid="{00000000-0005-0000-0000-0000D8060000}"/>
    <cellStyle name="Percent 2 2 4" xfId="1753" xr:uid="{00000000-0005-0000-0000-0000D9060000}"/>
    <cellStyle name="Percent 2 2 4 2" xfId="1754" xr:uid="{00000000-0005-0000-0000-0000DA060000}"/>
    <cellStyle name="Percent 2 2 5" xfId="1929" xr:uid="{7076E454-B1B8-43BB-B5DE-1E727FF1ECC4}"/>
    <cellStyle name="Percent 2 3" xfId="1755" xr:uid="{00000000-0005-0000-0000-0000DB060000}"/>
    <cellStyle name="Percent 2 3 2" xfId="1756" xr:uid="{00000000-0005-0000-0000-0000DC060000}"/>
    <cellStyle name="Percent 2 3 3" xfId="1757" xr:uid="{00000000-0005-0000-0000-0000DD060000}"/>
    <cellStyle name="Percent 2 3 4" xfId="1930" xr:uid="{A10D63A7-4BA6-402E-832C-ED83DA3867D8}"/>
    <cellStyle name="Percent 2 4" xfId="1758" xr:uid="{00000000-0005-0000-0000-0000DE060000}"/>
    <cellStyle name="Percent 2 4 2" xfId="1759" xr:uid="{00000000-0005-0000-0000-0000DF060000}"/>
    <cellStyle name="Percent 2 5" xfId="1760" xr:uid="{00000000-0005-0000-0000-0000E0060000}"/>
    <cellStyle name="Percent 2 5 2" xfId="1761" xr:uid="{00000000-0005-0000-0000-0000E1060000}"/>
    <cellStyle name="Percent 2 6" xfId="1762" xr:uid="{00000000-0005-0000-0000-0000E2060000}"/>
    <cellStyle name="Percent 2 6 2" xfId="1763" xr:uid="{00000000-0005-0000-0000-0000E3060000}"/>
    <cellStyle name="Percent 2 7" xfId="1764" xr:uid="{00000000-0005-0000-0000-0000E4060000}"/>
    <cellStyle name="Percent 2 8" xfId="1765" xr:uid="{00000000-0005-0000-0000-0000E5060000}"/>
    <cellStyle name="Percent 2 8 2" xfId="1766" xr:uid="{00000000-0005-0000-0000-0000E6060000}"/>
    <cellStyle name="Percent 2 9" xfId="1767" xr:uid="{00000000-0005-0000-0000-0000E7060000}"/>
    <cellStyle name="Percent 2 9 2" xfId="1768" xr:uid="{00000000-0005-0000-0000-0000E8060000}"/>
    <cellStyle name="Percent 20" xfId="1769" xr:uid="{00000000-0005-0000-0000-0000E9060000}"/>
    <cellStyle name="Percent 20 2" xfId="1770" xr:uid="{00000000-0005-0000-0000-0000EA060000}"/>
    <cellStyle name="Percent 20 2 2" xfId="1771" xr:uid="{00000000-0005-0000-0000-0000EB060000}"/>
    <cellStyle name="Percent 20 3" xfId="1772" xr:uid="{00000000-0005-0000-0000-0000EC060000}"/>
    <cellStyle name="Percent 20 3 2" xfId="1773" xr:uid="{00000000-0005-0000-0000-0000ED060000}"/>
    <cellStyle name="Percent 21" xfId="1774" xr:uid="{00000000-0005-0000-0000-0000EE060000}"/>
    <cellStyle name="Percent 21 2" xfId="1775" xr:uid="{00000000-0005-0000-0000-0000EF060000}"/>
    <cellStyle name="Percent 21 2 2" xfId="1776" xr:uid="{00000000-0005-0000-0000-0000F0060000}"/>
    <cellStyle name="Percent 22" xfId="1777" xr:uid="{00000000-0005-0000-0000-0000F1060000}"/>
    <cellStyle name="Percent 22 2" xfId="1778" xr:uid="{00000000-0005-0000-0000-0000F2060000}"/>
    <cellStyle name="Percent 22 2 2" xfId="1779" xr:uid="{00000000-0005-0000-0000-0000F3060000}"/>
    <cellStyle name="Percent 22 2 3" xfId="1780" xr:uid="{00000000-0005-0000-0000-0000F4060000}"/>
    <cellStyle name="Percent 22 3" xfId="1781" xr:uid="{00000000-0005-0000-0000-0000F5060000}"/>
    <cellStyle name="Percent 22 4" xfId="1782" xr:uid="{00000000-0005-0000-0000-0000F6060000}"/>
    <cellStyle name="Percent 23" xfId="1783" xr:uid="{00000000-0005-0000-0000-0000F7060000}"/>
    <cellStyle name="Percent 24" xfId="1784" xr:uid="{00000000-0005-0000-0000-0000F8060000}"/>
    <cellStyle name="Percent 25" xfId="1785" xr:uid="{00000000-0005-0000-0000-0000F9060000}"/>
    <cellStyle name="Percent 26" xfId="1786" xr:uid="{00000000-0005-0000-0000-0000FA060000}"/>
    <cellStyle name="Percent 27" xfId="1787" xr:uid="{00000000-0005-0000-0000-0000FB060000}"/>
    <cellStyle name="Percent 28" xfId="1788" xr:uid="{00000000-0005-0000-0000-0000FC060000}"/>
    <cellStyle name="Percent 29" xfId="1789" xr:uid="{00000000-0005-0000-0000-0000FD060000}"/>
    <cellStyle name="Percent 3" xfId="1790" xr:uid="{00000000-0005-0000-0000-0000FE060000}"/>
    <cellStyle name="Percent 3 2" xfId="1791" xr:uid="{00000000-0005-0000-0000-0000FF060000}"/>
    <cellStyle name="Percent 3 2 2" xfId="1792" xr:uid="{00000000-0005-0000-0000-000000070000}"/>
    <cellStyle name="Percent 3 2 2 2" xfId="1793" xr:uid="{00000000-0005-0000-0000-000001070000}"/>
    <cellStyle name="Percent 3 3" xfId="1794" xr:uid="{00000000-0005-0000-0000-000002070000}"/>
    <cellStyle name="Percent 3 3 2" xfId="1795" xr:uid="{00000000-0005-0000-0000-000003070000}"/>
    <cellStyle name="Percent 3 3 3" xfId="1796" xr:uid="{00000000-0005-0000-0000-000004070000}"/>
    <cellStyle name="Percent 3 3 3 2" xfId="1797" xr:uid="{00000000-0005-0000-0000-000005070000}"/>
    <cellStyle name="Percent 3 4" xfId="1798" xr:uid="{00000000-0005-0000-0000-000006070000}"/>
    <cellStyle name="Percent 3 4 2" xfId="1799" xr:uid="{00000000-0005-0000-0000-000007070000}"/>
    <cellStyle name="Percent 3 5" xfId="1800" xr:uid="{00000000-0005-0000-0000-000008070000}"/>
    <cellStyle name="Percent 30" xfId="1801" xr:uid="{00000000-0005-0000-0000-000009070000}"/>
    <cellStyle name="Percent 31" xfId="1917" xr:uid="{5C5B632A-D04B-4373-838D-8DBA2998D5EF}"/>
    <cellStyle name="Percent 32" xfId="1921" xr:uid="{EF4C8B52-6E5F-4057-9A7F-F2E78C30BADD}"/>
    <cellStyle name="Percent 33" xfId="1932" xr:uid="{D2459811-774D-43EA-AB14-028D4EF2ADAD}"/>
    <cellStyle name="Percent 4" xfId="1802" xr:uid="{00000000-0005-0000-0000-00000A070000}"/>
    <cellStyle name="Percent 4 2" xfId="1803" xr:uid="{00000000-0005-0000-0000-00000B070000}"/>
    <cellStyle name="Percent 4 3" xfId="1804" xr:uid="{00000000-0005-0000-0000-00000C070000}"/>
    <cellStyle name="Percent 4 4" xfId="1805" xr:uid="{00000000-0005-0000-0000-00000D070000}"/>
    <cellStyle name="Percent 4 4 2" xfId="1806" xr:uid="{00000000-0005-0000-0000-00000E070000}"/>
    <cellStyle name="Percent 5" xfId="1807" xr:uid="{00000000-0005-0000-0000-00000F070000}"/>
    <cellStyle name="Percent 5 2" xfId="1808" xr:uid="{00000000-0005-0000-0000-000010070000}"/>
    <cellStyle name="Percent 5 2 2" xfId="1809" xr:uid="{00000000-0005-0000-0000-000011070000}"/>
    <cellStyle name="Percent 5 2 2 2" xfId="1810" xr:uid="{00000000-0005-0000-0000-000012070000}"/>
    <cellStyle name="Percent 5 3" xfId="1811" xr:uid="{00000000-0005-0000-0000-000013070000}"/>
    <cellStyle name="Percent 5 3 2" xfId="1812" xr:uid="{00000000-0005-0000-0000-000014070000}"/>
    <cellStyle name="Percent 5 4" xfId="1813" xr:uid="{00000000-0005-0000-0000-000015070000}"/>
    <cellStyle name="Percent 5 4 2" xfId="1814" xr:uid="{00000000-0005-0000-0000-000016070000}"/>
    <cellStyle name="Percent 6" xfId="1815" xr:uid="{00000000-0005-0000-0000-000017070000}"/>
    <cellStyle name="Percent 6 2" xfId="1816" xr:uid="{00000000-0005-0000-0000-000018070000}"/>
    <cellStyle name="Percent 7" xfId="1817" xr:uid="{00000000-0005-0000-0000-000019070000}"/>
    <cellStyle name="Percent 7 2" xfId="1818" xr:uid="{00000000-0005-0000-0000-00001A070000}"/>
    <cellStyle name="Percent 8" xfId="1819" xr:uid="{00000000-0005-0000-0000-00001B070000}"/>
    <cellStyle name="Percent 8 2" xfId="1820" xr:uid="{00000000-0005-0000-0000-00001C070000}"/>
    <cellStyle name="Percent 8 3" xfId="1821" xr:uid="{00000000-0005-0000-0000-00001D070000}"/>
    <cellStyle name="Percent 8 3 2" xfId="1822" xr:uid="{00000000-0005-0000-0000-00001E070000}"/>
    <cellStyle name="Percent 9" xfId="1823" xr:uid="{00000000-0005-0000-0000-00001F070000}"/>
    <cellStyle name="Percent 9 2" xfId="1824" xr:uid="{00000000-0005-0000-0000-000020070000}"/>
    <cellStyle name="Percent 9 3" xfId="1825" xr:uid="{00000000-0005-0000-0000-000021070000}"/>
    <cellStyle name="Percent 9 3 2" xfId="1826" xr:uid="{00000000-0005-0000-0000-000022070000}"/>
    <cellStyle name="PlanNameCover" xfId="1827" xr:uid="{00000000-0005-0000-0000-000023070000}"/>
    <cellStyle name="Report$Number" xfId="1828" xr:uid="{00000000-0005-0000-0000-000024070000}"/>
    <cellStyle name="ReportHeader" xfId="1829" xr:uid="{00000000-0005-0000-0000-000025070000}"/>
    <cellStyle name="ReportHeaderRowCol.*" xfId="1830" xr:uid="{00000000-0005-0000-0000-000026070000}"/>
    <cellStyle name="ReportHeaderRowCol.1" xfId="1831" xr:uid="{00000000-0005-0000-0000-000027070000}"/>
    <cellStyle name="ReportHeaderRowCol.2" xfId="1832" xr:uid="{00000000-0005-0000-0000-000028070000}"/>
    <cellStyle name="ReportHeaderRowCol.Date" xfId="1833" xr:uid="{00000000-0005-0000-0000-000029070000}"/>
    <cellStyle name="ReportIntegerNumber" xfId="1834" xr:uid="{00000000-0005-0000-0000-00002A070000}"/>
    <cellStyle name="ReportNumber" xfId="1835" xr:uid="{00000000-0005-0000-0000-00002B070000}"/>
    <cellStyle name="ReportSectionTitle" xfId="1836" xr:uid="{00000000-0005-0000-0000-00002C070000}"/>
    <cellStyle name="ReportSectionTitleCenter" xfId="1837" xr:uid="{00000000-0005-0000-0000-00002D070000}"/>
    <cellStyle name="ReportSectionTitleCenterWrap" xfId="1838" xr:uid="{00000000-0005-0000-0000-00002E070000}"/>
    <cellStyle name="ReportSectionTitleRight" xfId="1839" xr:uid="{00000000-0005-0000-0000-00002F070000}"/>
    <cellStyle name="ReportSectionTitleRightWrap" xfId="1840" xr:uid="{00000000-0005-0000-0000-000030070000}"/>
    <cellStyle name="ReportSectionTitleWrap" xfId="1841" xr:uid="{00000000-0005-0000-0000-000031070000}"/>
    <cellStyle name="ReportSectionTotal" xfId="1842" xr:uid="{00000000-0005-0000-0000-000032070000}"/>
    <cellStyle name="ReportText" xfId="1843" xr:uid="{00000000-0005-0000-0000-000033070000}"/>
    <cellStyle name="ReportTextCenter" xfId="1844" xr:uid="{00000000-0005-0000-0000-000034070000}"/>
    <cellStyle name="ReportTextTop" xfId="1845" xr:uid="{00000000-0005-0000-0000-000035070000}"/>
    <cellStyle name="ReportTextWrap" xfId="1846" xr:uid="{00000000-0005-0000-0000-000036070000}"/>
    <cellStyle name="ReportTitle" xfId="1847" xr:uid="{00000000-0005-0000-0000-000037070000}"/>
    <cellStyle name="SFColumnHeader" xfId="1848" xr:uid="{00000000-0005-0000-0000-000038070000}"/>
    <cellStyle name="SFColumnHeaderCenter" xfId="1849" xr:uid="{00000000-0005-0000-0000-000039070000}"/>
    <cellStyle name="SFIntegerNumber" xfId="1850" xr:uid="{00000000-0005-0000-0000-00003A070000}"/>
    <cellStyle name="SIIColumnHeader" xfId="1851" xr:uid="{00000000-0005-0000-0000-00003B070000}"/>
    <cellStyle name="SSAData" xfId="1852" xr:uid="{00000000-0005-0000-0000-00003C070000}"/>
    <cellStyle name="SSADataCenter" xfId="1853" xr:uid="{00000000-0005-0000-0000-00003D070000}"/>
    <cellStyle name="SSAEIN" xfId="1854" xr:uid="{00000000-0005-0000-0000-00003E070000}"/>
    <cellStyle name="SSAErrData" xfId="1855" xr:uid="{00000000-0005-0000-0000-00003F070000}"/>
    <cellStyle name="SSAGrid" xfId="1856" xr:uid="{00000000-0005-0000-0000-000040070000}"/>
    <cellStyle name="SSAHeader" xfId="1857" xr:uid="{00000000-0005-0000-0000-000041070000}"/>
    <cellStyle name="SSANumber" xfId="1858" xr:uid="{00000000-0005-0000-0000-000042070000}"/>
    <cellStyle name="SSANumberRight" xfId="1859" xr:uid="{00000000-0005-0000-0000-000043070000}"/>
    <cellStyle name="SSASSN" xfId="1860" xr:uid="{00000000-0005-0000-0000-000044070000}"/>
    <cellStyle name="SubgroupSectionHeaderRowBalanceCol" xfId="1861" xr:uid="{00000000-0005-0000-0000-000045070000}"/>
    <cellStyle name="SubgroupSectionHeaderRowDescCol" xfId="1862" xr:uid="{00000000-0005-0000-0000-000046070000}"/>
    <cellStyle name="SubgroupSectionHeaderRowNameCol" xfId="1863" xr:uid="{00000000-0005-0000-0000-000047070000}"/>
    <cellStyle name="SubGroupSelectionHeaderRowJERefCol" xfId="1864" xr:uid="{00000000-0005-0000-0000-000048070000}"/>
    <cellStyle name="SubgroupSubtotalRowBalanceCol" xfId="1865" xr:uid="{00000000-0005-0000-0000-000049070000}"/>
    <cellStyle name="SubgroupSubtotalRowDescCol" xfId="1866" xr:uid="{00000000-0005-0000-0000-00004A070000}"/>
    <cellStyle name="SubgroupSubtotalRowJERefCol" xfId="1867" xr:uid="{00000000-0005-0000-0000-00004B070000}"/>
    <cellStyle name="SubgroupSubtotalRowNameCol" xfId="1868" xr:uid="{00000000-0005-0000-0000-00004C070000}"/>
    <cellStyle name="SubgroupSubtotalRowSpacerCol" xfId="1869" xr:uid="{00000000-0005-0000-0000-00004D070000}"/>
    <cellStyle name="SubgroupSubtotalRowVarPectCol" xfId="1870" xr:uid="{00000000-0005-0000-0000-00004E070000}"/>
    <cellStyle name="SubgroupSubtotalRowWPRefCol" xfId="1871" xr:uid="{00000000-0005-0000-0000-00004F070000}"/>
    <cellStyle name="SumAccountGroupsRowBalanceCol" xfId="1872" xr:uid="{00000000-0005-0000-0000-000050070000}"/>
    <cellStyle name="SumAccountGroupsRowDescCol" xfId="1873" xr:uid="{00000000-0005-0000-0000-000051070000}"/>
    <cellStyle name="SumAccountGroupsRowJERefCol" xfId="1874" xr:uid="{00000000-0005-0000-0000-000052070000}"/>
    <cellStyle name="SumAccountGroupsRowNameCol" xfId="1875" xr:uid="{00000000-0005-0000-0000-000053070000}"/>
    <cellStyle name="SumAccountGroupsRowSpacerCol" xfId="1876" xr:uid="{00000000-0005-0000-0000-000054070000}"/>
    <cellStyle name="SumAccountGroupsRowVarPectCol" xfId="1877" xr:uid="{00000000-0005-0000-0000-000055070000}"/>
    <cellStyle name="SumAccountGroupsRowWPRefCol" xfId="1878" xr:uid="{00000000-0005-0000-0000-000056070000}"/>
    <cellStyle name="Title 2" xfId="1879" xr:uid="{00000000-0005-0000-0000-000057070000}"/>
    <cellStyle name="Title 2 2" xfId="1880" xr:uid="{00000000-0005-0000-0000-000058070000}"/>
    <cellStyle name="Title 2 3" xfId="1881" xr:uid="{00000000-0005-0000-0000-000059070000}"/>
    <cellStyle name="Title 2 4" xfId="1882" xr:uid="{00000000-0005-0000-0000-00005A070000}"/>
    <cellStyle name="Title 3" xfId="1883" xr:uid="{00000000-0005-0000-0000-00005B070000}"/>
    <cellStyle name="TOCPageNumber" xfId="1884" xr:uid="{00000000-0005-0000-0000-00005C070000}"/>
    <cellStyle name="TOCPageNumHeader" xfId="1885" xr:uid="{00000000-0005-0000-0000-00005D070000}"/>
    <cellStyle name="TOCSectionHeader" xfId="1886" xr:uid="{00000000-0005-0000-0000-00005E070000}"/>
    <cellStyle name="Total" xfId="1887" builtinId="25" customBuiltin="1"/>
    <cellStyle name="Total 2" xfId="1888" xr:uid="{00000000-0005-0000-0000-000060070000}"/>
    <cellStyle name="Total 2 2" xfId="1889" xr:uid="{00000000-0005-0000-0000-000061070000}"/>
    <cellStyle name="Total 2 3" xfId="1890" xr:uid="{00000000-0005-0000-0000-000062070000}"/>
    <cellStyle name="Total 2 4" xfId="1891" xr:uid="{00000000-0005-0000-0000-000063070000}"/>
    <cellStyle name="Total 2 5" xfId="1892" xr:uid="{00000000-0005-0000-0000-000064070000}"/>
    <cellStyle name="Total 2 6" xfId="1893" xr:uid="{00000000-0005-0000-0000-000065070000}"/>
    <cellStyle name="Total 3" xfId="1894" xr:uid="{00000000-0005-0000-0000-000066070000}"/>
    <cellStyle name="Total 3 2" xfId="1895" xr:uid="{00000000-0005-0000-0000-000067070000}"/>
    <cellStyle name="Total 3 3" xfId="1896" xr:uid="{00000000-0005-0000-0000-000068070000}"/>
    <cellStyle name="TotalRow" xfId="1897" xr:uid="{00000000-0005-0000-0000-000069070000}"/>
    <cellStyle name="TotalRowCreditCol" xfId="1898" xr:uid="{00000000-0005-0000-0000-00006A070000}"/>
    <cellStyle name="TotalRowDebitCol" xfId="1899" xr:uid="{00000000-0005-0000-0000-00006B070000}"/>
    <cellStyle name="TransactionRowAcctDescCol" xfId="1900" xr:uid="{00000000-0005-0000-0000-00006C070000}"/>
    <cellStyle name="TransactionRowAcctNumCol" xfId="1901" xr:uid="{00000000-0005-0000-0000-00006D070000}"/>
    <cellStyle name="TransactionRowCreditCol" xfId="1902" xr:uid="{00000000-0005-0000-0000-00006E070000}"/>
    <cellStyle name="TransactionRowDateCol" xfId="1903" xr:uid="{00000000-0005-0000-0000-00006F070000}"/>
    <cellStyle name="TransactionRowDebitCol" xfId="1904" xr:uid="{00000000-0005-0000-0000-000070070000}"/>
    <cellStyle name="TransactionRowRefCol" xfId="1905" xr:uid="{00000000-0005-0000-0000-000071070000}"/>
    <cellStyle name="TransactionRowTransactionCol" xfId="1906" xr:uid="{00000000-0005-0000-0000-000072070000}"/>
    <cellStyle name="UnclassifiedTotalRowBalanceCol" xfId="1907" xr:uid="{00000000-0005-0000-0000-000073070000}"/>
    <cellStyle name="UnclassifiedTotalRowDescCol" xfId="1908" xr:uid="{00000000-0005-0000-0000-000074070000}"/>
    <cellStyle name="UnclassifiedTotalRowJERefCol" xfId="1909" xr:uid="{00000000-0005-0000-0000-000075070000}"/>
    <cellStyle name="UnclassifiedTotalRowNameCol" xfId="1910" xr:uid="{00000000-0005-0000-0000-000076070000}"/>
    <cellStyle name="UnclassifiedTotalRowSpacerCol" xfId="1911" xr:uid="{00000000-0005-0000-0000-000077070000}"/>
    <cellStyle name="UnclassifiedTotalRowVarPectCol" xfId="1912" xr:uid="{00000000-0005-0000-0000-000078070000}"/>
    <cellStyle name="UnclassifiedTotalRowWPRefCol" xfId="1913" xr:uid="{00000000-0005-0000-0000-000079070000}"/>
    <cellStyle name="Warning Text" xfId="1914" builtinId="11" customBuiltin="1"/>
    <cellStyle name="Warning Text 2" xfId="1915" xr:uid="{00000000-0005-0000-0000-00007B070000}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thin">
          <color rgb="FF000000"/>
        </top>
      </border>
    </dxf>
    <dxf>
      <font>
        <b/>
        <color rgb="FF000000"/>
      </font>
      <border>
        <bottom style="thin">
          <color rgb="FF000000"/>
        </bottom>
      </border>
    </dxf>
    <dxf>
      <font>
        <color rgb="FF000000"/>
      </font>
      <border>
        <top style="thin">
          <color rgb="FF000000"/>
        </top>
        <bottom style="thin">
          <color rgb="FF000000"/>
        </bottom>
      </border>
    </dxf>
  </dxfs>
  <tableStyles count="1" defaultTableStyle="TableStyleMedium2" defaultPivotStyle="PivotStyleLight16">
    <tableStyle name="TableStyleLight1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83E9-2D94-4F0D-AFBF-24CBB6B6E5BF}">
  <dimension ref="B1:K146"/>
  <sheetViews>
    <sheetView tabSelected="1" workbookViewId="0">
      <selection activeCell="F5" sqref="F5"/>
    </sheetView>
  </sheetViews>
  <sheetFormatPr defaultRowHeight="15"/>
  <cols>
    <col min="1" max="1" width="2.28515625" customWidth="1"/>
    <col min="3" max="3" width="33.42578125" customWidth="1"/>
    <col min="5" max="5" width="24.28515625" customWidth="1"/>
    <col min="6" max="6" width="40.85546875" customWidth="1"/>
    <col min="7" max="7" width="16.28515625" bestFit="1" customWidth="1"/>
    <col min="8" max="8" width="19" customWidth="1"/>
    <col min="9" max="9" width="15.28515625" bestFit="1" customWidth="1"/>
    <col min="10" max="11" width="11" bestFit="1" customWidth="1"/>
  </cols>
  <sheetData>
    <row r="1" spans="2:7">
      <c r="B1" s="333" t="s">
        <v>500</v>
      </c>
      <c r="C1" s="333"/>
      <c r="D1" s="333"/>
      <c r="E1" s="333"/>
      <c r="F1" s="333"/>
      <c r="G1" s="333"/>
    </row>
    <row r="2" spans="2:7">
      <c r="B2" s="333"/>
      <c r="C2" s="333"/>
      <c r="D2" s="333"/>
      <c r="E2" s="333"/>
      <c r="F2" s="333"/>
      <c r="G2" s="333"/>
    </row>
    <row r="3" spans="2:7" ht="15.75" thickBot="1">
      <c r="B3" s="333"/>
      <c r="C3" s="333"/>
      <c r="D3" s="333"/>
      <c r="E3" s="325" t="s">
        <v>501</v>
      </c>
      <c r="F3" s="324" t="s">
        <v>502</v>
      </c>
      <c r="G3" s="333"/>
    </row>
    <row r="4" spans="2:7" ht="16.5" thickTop="1" thickBot="1">
      <c r="B4" s="333" t="s">
        <v>503</v>
      </c>
      <c r="C4" s="333"/>
      <c r="D4" s="333"/>
      <c r="E4" s="329">
        <v>1341</v>
      </c>
      <c r="F4" s="334" t="str">
        <f>VLOOKUP(E4,'Contribution Allocation_Report'!$A$9:$B$65536,2,FALSE)</f>
        <v>STATE OF NEW MEXICO</v>
      </c>
      <c r="G4" s="333"/>
    </row>
    <row r="5" spans="2:7" ht="15.75" thickTop="1">
      <c r="B5" s="333"/>
      <c r="C5" s="333"/>
      <c r="D5" s="333"/>
      <c r="E5" s="335"/>
      <c r="F5" s="334"/>
      <c r="G5" s="333"/>
    </row>
    <row r="6" spans="2:7">
      <c r="B6" s="333"/>
      <c r="C6" s="333"/>
      <c r="D6" s="333"/>
      <c r="E6" s="333"/>
      <c r="F6" s="333"/>
      <c r="G6" s="333"/>
    </row>
    <row r="7" spans="2:7">
      <c r="B7" s="333" t="s">
        <v>561</v>
      </c>
      <c r="C7" s="333"/>
      <c r="D7" s="333"/>
      <c r="E7" s="333"/>
      <c r="F7" s="333"/>
      <c r="G7" s="333"/>
    </row>
    <row r="8" spans="2:7" ht="15.75" thickBot="1">
      <c r="B8" s="333"/>
      <c r="C8" s="333"/>
      <c r="D8" s="333"/>
      <c r="E8" s="333"/>
      <c r="F8" s="333"/>
      <c r="G8" s="333"/>
    </row>
    <row r="9" spans="2:7" ht="16.5" thickTop="1" thickBot="1">
      <c r="B9" s="333"/>
      <c r="C9" s="333" t="s">
        <v>504</v>
      </c>
      <c r="D9" s="333"/>
      <c r="E9" s="328"/>
      <c r="F9" s="336" t="s">
        <v>505</v>
      </c>
      <c r="G9" s="333"/>
    </row>
    <row r="10" spans="2:7" ht="16.5" thickTop="1" thickBot="1">
      <c r="B10" s="333"/>
      <c r="C10" s="333"/>
      <c r="D10" s="333"/>
      <c r="E10" s="327"/>
      <c r="F10" s="336"/>
      <c r="G10" s="333"/>
    </row>
    <row r="11" spans="2:7" ht="16.5" thickTop="1" thickBot="1">
      <c r="B11" s="333"/>
      <c r="C11" s="333" t="s">
        <v>506</v>
      </c>
      <c r="D11" s="333"/>
      <c r="E11" s="328">
        <f>+E9/0.02</f>
        <v>0</v>
      </c>
      <c r="F11" s="336" t="s">
        <v>507</v>
      </c>
      <c r="G11" s="333"/>
    </row>
    <row r="12" spans="2:7" ht="15.75" thickTop="1">
      <c r="B12" s="333"/>
      <c r="C12" s="333"/>
      <c r="D12" s="333"/>
      <c r="E12" s="327"/>
      <c r="F12" s="336" t="s">
        <v>508</v>
      </c>
      <c r="G12" s="333"/>
    </row>
    <row r="13" spans="2:7">
      <c r="B13" s="333"/>
      <c r="C13" s="333"/>
      <c r="D13" s="333"/>
      <c r="E13" s="337"/>
      <c r="F13" s="333"/>
      <c r="G13" s="333"/>
    </row>
    <row r="14" spans="2:7">
      <c r="B14" s="333" t="s">
        <v>562</v>
      </c>
      <c r="C14" s="333"/>
      <c r="D14" s="333"/>
      <c r="E14" s="333"/>
      <c r="F14" s="333"/>
      <c r="G14" s="333"/>
    </row>
    <row r="15" spans="2:7" ht="15.75" thickBot="1">
      <c r="B15" s="333"/>
      <c r="C15" s="333"/>
      <c r="D15" s="333"/>
      <c r="E15" s="333"/>
      <c r="F15" s="333"/>
      <c r="G15" s="333"/>
    </row>
    <row r="16" spans="2:7" ht="16.5" thickTop="1" thickBot="1">
      <c r="B16" s="333"/>
      <c r="C16" s="333"/>
      <c r="D16" s="333"/>
      <c r="E16" s="328"/>
      <c r="F16" s="336" t="s">
        <v>509</v>
      </c>
      <c r="G16" s="333"/>
    </row>
    <row r="17" spans="2:7" ht="15.75" thickTop="1">
      <c r="B17" s="333"/>
      <c r="C17" s="333"/>
      <c r="D17" s="333"/>
      <c r="E17" s="337"/>
      <c r="F17" s="336"/>
      <c r="G17" s="333"/>
    </row>
    <row r="18" spans="2:7">
      <c r="B18" s="338" t="s">
        <v>510</v>
      </c>
      <c r="C18" s="333"/>
      <c r="D18" s="333"/>
      <c r="E18" s="339" t="s">
        <v>511</v>
      </c>
      <c r="F18" s="338" t="s">
        <v>512</v>
      </c>
      <c r="G18" s="333"/>
    </row>
    <row r="19" spans="2:7">
      <c r="B19" s="333"/>
      <c r="C19" s="333"/>
      <c r="D19" s="333"/>
      <c r="E19" s="333"/>
      <c r="F19" s="333"/>
      <c r="G19" s="333"/>
    </row>
    <row r="20" spans="2:7">
      <c r="B20" s="333" t="s">
        <v>563</v>
      </c>
      <c r="C20" s="333"/>
      <c r="D20" s="333"/>
      <c r="E20" s="340">
        <f>VLOOKUP(E4,'Contribution Allocation_Report'!$A$9:$D$65536,4,FALSE)</f>
        <v>0.24123510000000001</v>
      </c>
      <c r="F20" s="336" t="s">
        <v>513</v>
      </c>
      <c r="G20" s="333"/>
    </row>
    <row r="21" spans="2:7">
      <c r="B21" s="333"/>
      <c r="C21" s="333"/>
      <c r="D21" s="333"/>
      <c r="E21" s="333"/>
      <c r="F21" s="333"/>
      <c r="G21" s="333"/>
    </row>
    <row r="22" spans="2:7">
      <c r="B22" s="333" t="s">
        <v>377</v>
      </c>
      <c r="C22" s="333"/>
      <c r="D22" s="333"/>
      <c r="E22" s="341">
        <f>VLOOKUP($E$4,'OPEB Amounts_Report'!$A$10:$P$65536,7,FALSE)</f>
        <v>177040842</v>
      </c>
      <c r="F22" s="336" t="s">
        <v>394</v>
      </c>
      <c r="G22" s="333"/>
    </row>
    <row r="23" spans="2:7">
      <c r="B23" s="333"/>
      <c r="C23" s="333"/>
      <c r="D23" s="333"/>
      <c r="E23" s="333"/>
      <c r="F23" s="336"/>
      <c r="G23" s="333"/>
    </row>
    <row r="24" spans="2:7">
      <c r="B24" s="333" t="s">
        <v>296</v>
      </c>
      <c r="C24" s="333"/>
      <c r="D24" s="333"/>
      <c r="E24" s="341">
        <f>VLOOKUP($E$4,'OPEB Amounts_Report'!$A$10:$P$65536,13,FALSE)</f>
        <v>443193497</v>
      </c>
      <c r="F24" s="336" t="s">
        <v>394</v>
      </c>
      <c r="G24" s="333"/>
    </row>
    <row r="25" spans="2:7">
      <c r="B25" s="333"/>
      <c r="C25" s="333"/>
      <c r="D25" s="333"/>
      <c r="E25" s="333"/>
      <c r="F25" s="336"/>
      <c r="G25" s="333"/>
    </row>
    <row r="26" spans="2:7">
      <c r="B26" s="333" t="s">
        <v>514</v>
      </c>
      <c r="C26" s="333"/>
      <c r="D26" s="333"/>
      <c r="E26" s="341">
        <f>VLOOKUP($E$4,'OPEB Amounts_Report'!$A$10:$Q$65536,17,FALSE)</f>
        <v>-85400567</v>
      </c>
      <c r="F26" s="336" t="s">
        <v>394</v>
      </c>
      <c r="G26" s="333"/>
    </row>
    <row r="27" spans="2:7">
      <c r="B27" s="333"/>
      <c r="C27" s="333"/>
      <c r="D27" s="333"/>
      <c r="E27" s="333"/>
      <c r="F27" s="336"/>
      <c r="G27" s="333"/>
    </row>
    <row r="28" spans="2:7">
      <c r="B28" s="333" t="s">
        <v>515</v>
      </c>
      <c r="C28" s="333"/>
      <c r="D28" s="333"/>
      <c r="E28" s="341">
        <f>VLOOKUP($E$4,'OPEB Amounts_Report'!$A$10:$P$65536,3,FALSE)</f>
        <v>793747857</v>
      </c>
      <c r="F28" s="336" t="s">
        <v>394</v>
      </c>
      <c r="G28" s="333"/>
    </row>
    <row r="29" spans="2:7">
      <c r="B29" s="333"/>
      <c r="C29" s="333"/>
      <c r="D29" s="333"/>
      <c r="E29" s="333"/>
      <c r="F29" s="336"/>
      <c r="G29" s="333"/>
    </row>
    <row r="30" spans="2:7">
      <c r="B30" s="333"/>
      <c r="C30" s="333"/>
      <c r="D30" s="333"/>
      <c r="E30" s="333"/>
      <c r="F30" s="333"/>
      <c r="G30" s="333"/>
    </row>
    <row r="31" spans="2:7">
      <c r="B31" s="333" t="s">
        <v>516</v>
      </c>
      <c r="C31" s="333"/>
      <c r="D31" s="333"/>
      <c r="E31" s="333"/>
      <c r="F31" s="333"/>
      <c r="G31" s="333"/>
    </row>
    <row r="32" spans="2:7">
      <c r="B32" s="333"/>
      <c r="C32" s="333"/>
      <c r="D32" s="333"/>
      <c r="E32" s="333"/>
      <c r="F32" s="333"/>
      <c r="G32" s="333"/>
    </row>
    <row r="33" spans="2:11">
      <c r="B33" s="333" t="s">
        <v>517</v>
      </c>
      <c r="C33" s="333"/>
      <c r="D33" s="333"/>
      <c r="E33" s="342">
        <f>IFERROR(VLOOKUP($E$4,'PY_OPEB Amounts'!$A$4:$O$318,3,0),0)-E28</f>
        <v>215157785</v>
      </c>
      <c r="F33" s="333"/>
      <c r="G33" s="333"/>
    </row>
    <row r="34" spans="2:11">
      <c r="B34" s="333" t="s">
        <v>296</v>
      </c>
      <c r="C34" s="333"/>
      <c r="D34" s="333"/>
      <c r="E34" s="342">
        <f>IFERROR(VLOOKUP($E$4,'PY_OPEB Amounts'!$A$4:$O$318,12,0),0)-E24</f>
        <v>-76246566</v>
      </c>
      <c r="F34" s="333"/>
      <c r="G34" s="358"/>
      <c r="H34" s="358"/>
      <c r="I34" s="357"/>
    </row>
    <row r="35" spans="2:11">
      <c r="B35" s="333" t="s">
        <v>377</v>
      </c>
      <c r="C35" s="333"/>
      <c r="D35" s="333"/>
      <c r="E35" s="342">
        <f>-IFERROR(VLOOKUP($E$4,'PY_OPEB Amounts'!$A$4:$O$318,7,0),0)+E22-E16</f>
        <v>-30210807</v>
      </c>
      <c r="F35" s="333"/>
      <c r="G35" s="358"/>
      <c r="H35" s="357"/>
      <c r="I35" s="357"/>
      <c r="J35" s="395"/>
      <c r="K35" s="395"/>
    </row>
    <row r="36" spans="2:11">
      <c r="B36" s="333" t="s">
        <v>398</v>
      </c>
      <c r="C36" s="333"/>
      <c r="D36" s="333"/>
      <c r="E36" s="342">
        <f>+E26</f>
        <v>-85400567</v>
      </c>
      <c r="F36" s="342"/>
      <c r="G36" s="333"/>
    </row>
    <row r="37" spans="2:11">
      <c r="B37" s="333" t="s">
        <v>518</v>
      </c>
      <c r="C37" s="333"/>
      <c r="D37" s="333"/>
      <c r="E37" s="342">
        <f>-SUM(E33:E36)</f>
        <v>-23299845</v>
      </c>
      <c r="F37" s="336" t="s">
        <v>519</v>
      </c>
      <c r="G37" s="333"/>
    </row>
    <row r="38" spans="2:11">
      <c r="B38" s="333"/>
      <c r="C38" s="333"/>
      <c r="D38" s="333"/>
      <c r="E38" s="342"/>
      <c r="F38" s="343" t="s">
        <v>520</v>
      </c>
      <c r="G38" s="333"/>
    </row>
    <row r="39" spans="2:11">
      <c r="B39" s="333"/>
      <c r="C39" s="333"/>
      <c r="D39" s="333"/>
      <c r="E39" s="342"/>
      <c r="F39" s="343" t="s">
        <v>521</v>
      </c>
      <c r="G39" s="333"/>
    </row>
    <row r="40" spans="2:11">
      <c r="B40" s="333"/>
      <c r="C40" s="333"/>
      <c r="D40" s="333"/>
      <c r="E40" s="333"/>
      <c r="F40" s="333"/>
      <c r="G40" s="333"/>
    </row>
    <row r="41" spans="2:11">
      <c r="B41" s="333" t="s">
        <v>522</v>
      </c>
      <c r="C41" s="333"/>
      <c r="D41" s="333"/>
      <c r="E41" s="333"/>
      <c r="F41" s="333"/>
      <c r="G41" s="333"/>
    </row>
    <row r="42" spans="2:11">
      <c r="B42" s="333"/>
      <c r="C42" s="333"/>
      <c r="D42" s="333"/>
      <c r="E42" s="333"/>
      <c r="F42" s="333"/>
      <c r="G42" s="333"/>
    </row>
    <row r="43" spans="2:11">
      <c r="B43" s="333" t="s">
        <v>377</v>
      </c>
      <c r="C43" s="333"/>
      <c r="D43" s="333"/>
      <c r="E43" s="342">
        <f>+E9</f>
        <v>0</v>
      </c>
      <c r="F43" s="333"/>
      <c r="G43" s="333"/>
    </row>
    <row r="44" spans="2:11">
      <c r="B44" s="333" t="s">
        <v>523</v>
      </c>
      <c r="C44" s="333"/>
      <c r="D44" s="333"/>
      <c r="E44" s="342">
        <f>-E43</f>
        <v>0</v>
      </c>
      <c r="F44" s="333"/>
      <c r="G44" s="333"/>
    </row>
    <row r="45" spans="2:11">
      <c r="B45" s="333"/>
      <c r="C45" s="333"/>
      <c r="D45" s="333"/>
      <c r="E45" s="333"/>
      <c r="F45" s="333"/>
      <c r="G45" s="333"/>
    </row>
    <row r="46" spans="2:11">
      <c r="B46" s="333"/>
      <c r="C46" s="333"/>
      <c r="D46" s="333"/>
      <c r="E46" s="333"/>
      <c r="F46" s="333"/>
      <c r="G46" s="333"/>
    </row>
    <row r="47" spans="2:11">
      <c r="B47" s="333" t="s">
        <v>524</v>
      </c>
      <c r="C47" s="333"/>
      <c r="D47" s="333"/>
      <c r="E47" s="333"/>
      <c r="F47" s="333"/>
      <c r="G47" s="333"/>
    </row>
    <row r="48" spans="2:11">
      <c r="B48" s="333"/>
      <c r="C48" s="333"/>
      <c r="D48" s="333"/>
      <c r="E48" s="333"/>
      <c r="F48" s="333"/>
      <c r="G48" s="333"/>
    </row>
    <row r="49" spans="2:7">
      <c r="B49" s="333"/>
      <c r="C49" s="333"/>
      <c r="D49" s="333"/>
      <c r="E49" s="333"/>
      <c r="F49" s="333"/>
      <c r="G49" s="333"/>
    </row>
    <row r="50" spans="2:7">
      <c r="B50" s="338" t="s">
        <v>525</v>
      </c>
      <c r="C50" s="333"/>
      <c r="D50" s="333"/>
      <c r="E50" s="333"/>
      <c r="F50" s="333"/>
      <c r="G50" s="333"/>
    </row>
    <row r="51" spans="2:7">
      <c r="B51" s="333"/>
      <c r="C51" s="333"/>
      <c r="D51" s="333"/>
      <c r="E51" s="333"/>
      <c r="F51" s="333"/>
      <c r="G51" s="333"/>
    </row>
    <row r="52" spans="2:7">
      <c r="B52" s="333"/>
      <c r="C52" s="344"/>
      <c r="D52" s="345" t="s">
        <v>495</v>
      </c>
      <c r="E52" s="346">
        <f>VLOOKUP($E$4,'Discount Rate Sensitivity'!$A$4:$E$313,3,FALSE)</f>
        <v>997325642</v>
      </c>
      <c r="F52" s="336" t="s">
        <v>396</v>
      </c>
      <c r="G52" s="333"/>
    </row>
    <row r="53" spans="2:7">
      <c r="B53" s="333"/>
      <c r="C53" s="344"/>
      <c r="D53" s="345" t="s">
        <v>494</v>
      </c>
      <c r="E53" s="346">
        <f>VLOOKUP($E$4,'Discount Rate Sensitivity'!$A$4:$E$313,4,FALSE)</f>
        <v>793747857</v>
      </c>
      <c r="F53" s="336" t="s">
        <v>396</v>
      </c>
      <c r="G53" s="333"/>
    </row>
    <row r="54" spans="2:7">
      <c r="B54" s="333"/>
      <c r="C54" s="344"/>
      <c r="D54" s="345" t="s">
        <v>496</v>
      </c>
      <c r="E54" s="346">
        <f>VLOOKUP($E$4,'Discount Rate Sensitivity'!$A$4:$E$313,5,FALSE)</f>
        <v>635386696</v>
      </c>
      <c r="F54" s="336" t="s">
        <v>396</v>
      </c>
      <c r="G54" s="333"/>
    </row>
    <row r="55" spans="2:7">
      <c r="B55" s="333"/>
      <c r="C55" s="334"/>
      <c r="D55" s="333"/>
      <c r="E55" s="333"/>
      <c r="F55" s="333"/>
      <c r="G55" s="333"/>
    </row>
    <row r="56" spans="2:7">
      <c r="B56" s="338" t="s">
        <v>526</v>
      </c>
      <c r="C56" s="334"/>
      <c r="D56" s="333"/>
      <c r="E56" s="333"/>
      <c r="F56" s="333"/>
      <c r="G56" s="333"/>
    </row>
    <row r="57" spans="2:7">
      <c r="B57" s="338"/>
      <c r="C57" s="334"/>
      <c r="D57" s="333"/>
      <c r="E57" s="333"/>
      <c r="F57" s="333"/>
      <c r="G57" s="333"/>
    </row>
    <row r="58" spans="2:7">
      <c r="B58" s="333"/>
      <c r="C58" s="334"/>
      <c r="D58" s="345" t="s">
        <v>329</v>
      </c>
      <c r="E58" s="346">
        <f>VLOOKUP($E$4,'Trend Rate Sensitivity'!$A$7:$E$313,3,FALSE)</f>
        <v>638428980</v>
      </c>
      <c r="F58" s="336" t="s">
        <v>397</v>
      </c>
      <c r="G58" s="333"/>
    </row>
    <row r="59" spans="2:7">
      <c r="B59" s="333"/>
      <c r="C59" s="334"/>
      <c r="D59" s="345" t="s">
        <v>423</v>
      </c>
      <c r="E59" s="346">
        <f>VLOOKUP($E$4,'Trend Rate Sensitivity'!$A$7:$E$313,4,FALSE)</f>
        <v>793747857</v>
      </c>
      <c r="F59" s="336" t="s">
        <v>397</v>
      </c>
      <c r="G59" s="333"/>
    </row>
    <row r="60" spans="2:7">
      <c r="B60" s="333"/>
      <c r="C60" s="334"/>
      <c r="D60" s="345" t="s">
        <v>330</v>
      </c>
      <c r="E60" s="346">
        <f>VLOOKUP($E$4,'Trend Rate Sensitivity'!$A$7:$E$313,5,FALSE)</f>
        <v>918826176</v>
      </c>
      <c r="F60" s="336" t="s">
        <v>397</v>
      </c>
      <c r="G60" s="333"/>
    </row>
    <row r="61" spans="2:7">
      <c r="B61" s="333"/>
      <c r="C61" s="334"/>
      <c r="D61" s="333"/>
      <c r="E61" s="333"/>
      <c r="F61" s="333"/>
      <c r="G61" s="333"/>
    </row>
    <row r="62" spans="2:7">
      <c r="B62" s="333"/>
      <c r="C62" s="334"/>
      <c r="D62" s="333"/>
      <c r="E62" s="333"/>
      <c r="F62" s="333"/>
      <c r="G62" s="333"/>
    </row>
    <row r="63" spans="2:7">
      <c r="B63" s="338" t="s">
        <v>527</v>
      </c>
      <c r="C63" s="333"/>
      <c r="D63" s="333"/>
      <c r="E63" s="333"/>
      <c r="F63" s="333"/>
      <c r="G63" s="333"/>
    </row>
    <row r="64" spans="2:7">
      <c r="B64" s="333"/>
      <c r="C64" s="333"/>
      <c r="D64" s="333"/>
      <c r="E64" s="333"/>
      <c r="F64" s="333"/>
      <c r="G64" s="333"/>
    </row>
    <row r="65" spans="2:7">
      <c r="B65" s="347" t="s">
        <v>377</v>
      </c>
      <c r="C65" s="333"/>
      <c r="D65" s="333"/>
      <c r="E65" s="348" t="s">
        <v>511</v>
      </c>
      <c r="F65" s="333"/>
      <c r="G65" s="333"/>
    </row>
    <row r="66" spans="2:7">
      <c r="B66" s="347"/>
      <c r="C66" s="333"/>
      <c r="D66" s="333"/>
      <c r="E66" s="348"/>
      <c r="F66" s="333"/>
      <c r="G66" s="333"/>
    </row>
    <row r="67" spans="2:7" s="405" customFormat="1">
      <c r="B67" s="351" t="s">
        <v>534</v>
      </c>
      <c r="C67" s="333"/>
      <c r="D67" s="333"/>
      <c r="E67" s="333"/>
      <c r="F67" s="333"/>
      <c r="G67" s="333"/>
    </row>
    <row r="68" spans="2:7" s="405" customFormat="1">
      <c r="B68" s="352" t="s">
        <v>535</v>
      </c>
      <c r="C68" s="333"/>
      <c r="D68" s="333"/>
      <c r="E68" s="346">
        <f>VLOOKUP($E$4,'OPEB Amounts_Report'!$A$10:$P$65536,4,FALSE)</f>
        <v>11605637</v>
      </c>
      <c r="F68" s="336" t="s">
        <v>394</v>
      </c>
      <c r="G68" s="333"/>
    </row>
    <row r="69" spans="2:7" s="405" customFormat="1">
      <c r="B69" s="347"/>
      <c r="C69" s="333"/>
      <c r="D69" s="333"/>
      <c r="E69" s="348"/>
      <c r="F69" s="333"/>
      <c r="G69" s="333"/>
    </row>
    <row r="70" spans="2:7">
      <c r="B70" s="351" t="s">
        <v>299</v>
      </c>
      <c r="C70" s="333"/>
      <c r="D70" s="333"/>
      <c r="E70" s="346">
        <f>VLOOKUP($E$4,'OPEB Amounts_Report'!$A$10:$P$65536,5,FALSE)</f>
        <v>158915678</v>
      </c>
      <c r="F70" s="336" t="s">
        <v>394</v>
      </c>
      <c r="G70" s="333"/>
    </row>
    <row r="71" spans="2:7">
      <c r="B71" s="351"/>
      <c r="C71" s="333"/>
      <c r="D71" s="333"/>
      <c r="E71" s="333"/>
      <c r="F71" s="333"/>
      <c r="G71" s="333"/>
    </row>
    <row r="72" spans="2:7">
      <c r="B72" s="333" t="s">
        <v>531</v>
      </c>
      <c r="C72" s="333"/>
      <c r="D72" s="333"/>
      <c r="E72" s="346">
        <f>VLOOKUP($E$4,'OPEB Amounts_Report'!$A$10:$P$65536,6,FALSE)</f>
        <v>6519527</v>
      </c>
      <c r="F72" s="336" t="s">
        <v>394</v>
      </c>
      <c r="G72" s="333"/>
    </row>
    <row r="73" spans="2:7">
      <c r="B73" s="333"/>
      <c r="C73" s="333"/>
      <c r="D73" s="333"/>
      <c r="E73" s="333"/>
      <c r="F73" s="333"/>
      <c r="G73" s="333"/>
    </row>
    <row r="74" spans="2:7">
      <c r="B74" s="333" t="s">
        <v>532</v>
      </c>
      <c r="C74" s="333"/>
      <c r="D74" s="333"/>
      <c r="E74" s="333"/>
      <c r="F74" s="333"/>
      <c r="G74" s="333"/>
    </row>
    <row r="75" spans="2:7">
      <c r="B75" s="349" t="s">
        <v>533</v>
      </c>
      <c r="C75" s="333"/>
      <c r="D75" s="333"/>
      <c r="E75" s="342">
        <f>+E9</f>
        <v>0</v>
      </c>
      <c r="F75" s="336" t="s">
        <v>505</v>
      </c>
      <c r="G75" s="333"/>
    </row>
    <row r="76" spans="2:7">
      <c r="B76" s="333"/>
      <c r="C76" s="333"/>
      <c r="D76" s="333"/>
      <c r="E76" s="333"/>
      <c r="F76" s="333"/>
      <c r="G76" s="333"/>
    </row>
    <row r="77" spans="2:7" ht="15.75" thickBot="1">
      <c r="B77" s="333" t="s">
        <v>379</v>
      </c>
      <c r="C77" s="333"/>
      <c r="D77" s="333"/>
      <c r="E77" s="350">
        <f>SUM(E68:E76)</f>
        <v>177040842</v>
      </c>
      <c r="F77" s="333"/>
      <c r="G77" s="333"/>
    </row>
    <row r="78" spans="2:7" ht="15.75" thickTop="1">
      <c r="B78" s="333"/>
      <c r="C78" s="333"/>
      <c r="D78" s="333"/>
      <c r="E78" s="333"/>
      <c r="F78" s="333"/>
      <c r="G78" s="333"/>
    </row>
    <row r="79" spans="2:7">
      <c r="B79" s="347" t="s">
        <v>296</v>
      </c>
      <c r="C79" s="347"/>
      <c r="D79" s="347"/>
      <c r="E79" s="348" t="s">
        <v>511</v>
      </c>
      <c r="F79" s="333"/>
      <c r="G79" s="333"/>
    </row>
    <row r="80" spans="2:7">
      <c r="B80" s="333"/>
      <c r="C80" s="333"/>
      <c r="D80" s="333"/>
      <c r="E80" s="333"/>
      <c r="F80" s="333"/>
      <c r="G80" s="333"/>
    </row>
    <row r="81" spans="2:7">
      <c r="B81" s="351" t="s">
        <v>534</v>
      </c>
      <c r="C81" s="333"/>
      <c r="D81" s="333"/>
      <c r="E81" s="333"/>
      <c r="F81" s="333"/>
      <c r="G81" s="333"/>
    </row>
    <row r="82" spans="2:7">
      <c r="B82" s="352" t="s">
        <v>535</v>
      </c>
      <c r="C82" s="333"/>
      <c r="D82" s="333"/>
      <c r="E82" s="346">
        <f>VLOOKUP($E$4,'OPEB Amounts_Report'!$A$10:$P$65536,9,FALSE)</f>
        <v>126586276</v>
      </c>
      <c r="F82" s="336" t="s">
        <v>394</v>
      </c>
      <c r="G82" s="333"/>
    </row>
    <row r="83" spans="2:7" s="405" customFormat="1">
      <c r="B83" s="352"/>
      <c r="C83" s="333"/>
      <c r="D83" s="333"/>
      <c r="E83" s="346"/>
      <c r="F83" s="336"/>
      <c r="G83" s="333"/>
    </row>
    <row r="84" spans="2:7" s="405" customFormat="1">
      <c r="B84" s="351" t="s">
        <v>528</v>
      </c>
      <c r="C84" s="333"/>
      <c r="D84" s="333"/>
      <c r="E84" s="333"/>
      <c r="F84" s="333"/>
      <c r="G84" s="333"/>
    </row>
    <row r="85" spans="2:7" s="405" customFormat="1">
      <c r="B85" s="352" t="s">
        <v>529</v>
      </c>
      <c r="C85" s="333"/>
      <c r="D85" s="333"/>
      <c r="E85" s="333"/>
      <c r="F85" s="333"/>
      <c r="G85" s="333"/>
    </row>
    <row r="86" spans="2:7" s="405" customFormat="1">
      <c r="B86" s="352" t="s">
        <v>530</v>
      </c>
      <c r="C86" s="333"/>
      <c r="D86" s="333"/>
      <c r="E86" s="346">
        <f>VLOOKUP($E$4,'OPEB Amounts_Report'!$A$10:$P$65536,10,FALSE)</f>
        <v>22752111</v>
      </c>
      <c r="F86" s="336" t="s">
        <v>394</v>
      </c>
      <c r="G86" s="333"/>
    </row>
    <row r="87" spans="2:7">
      <c r="B87" s="351"/>
      <c r="C87" s="333"/>
      <c r="D87" s="333"/>
      <c r="E87" s="333"/>
      <c r="F87" s="333"/>
      <c r="G87" s="333"/>
    </row>
    <row r="88" spans="2:7">
      <c r="B88" s="351" t="s">
        <v>299</v>
      </c>
      <c r="C88" s="333"/>
      <c r="D88" s="333"/>
      <c r="E88" s="346">
        <f>VLOOKUP($E$4,'OPEB Amounts_Report'!$A$10:$P$65536,11,FALSE)</f>
        <v>286967981</v>
      </c>
      <c r="F88" s="336" t="s">
        <v>394</v>
      </c>
      <c r="G88" s="333"/>
    </row>
    <row r="89" spans="2:7">
      <c r="B89" s="351"/>
      <c r="C89" s="333"/>
      <c r="D89" s="333"/>
      <c r="E89" s="346"/>
      <c r="F89" s="336"/>
      <c r="G89" s="333"/>
    </row>
    <row r="90" spans="2:7">
      <c r="B90" s="351" t="s">
        <v>531</v>
      </c>
      <c r="C90" s="333"/>
      <c r="D90" s="333"/>
      <c r="E90" s="346">
        <f>VLOOKUP($E$4,'OPEB Amounts_Report'!$A$10:$P$65536,12,FALSE)</f>
        <v>6887129</v>
      </c>
      <c r="F90" s="336" t="s">
        <v>394</v>
      </c>
      <c r="G90" s="333"/>
    </row>
    <row r="91" spans="2:7">
      <c r="B91" s="351"/>
      <c r="C91" s="333"/>
      <c r="D91" s="333"/>
      <c r="E91" s="346"/>
      <c r="F91" s="336"/>
      <c r="G91" s="333"/>
    </row>
    <row r="92" spans="2:7" ht="15.75" thickBot="1">
      <c r="B92" s="333" t="s">
        <v>300</v>
      </c>
      <c r="C92" s="333"/>
      <c r="D92" s="333"/>
      <c r="E92" s="350">
        <f>SUM(E82:E91)</f>
        <v>443193497</v>
      </c>
      <c r="F92" s="333"/>
      <c r="G92" s="333"/>
    </row>
    <row r="93" spans="2:7" ht="15.75" thickTop="1">
      <c r="B93" s="333"/>
      <c r="C93" s="333"/>
      <c r="D93" s="333"/>
      <c r="E93" s="333"/>
      <c r="F93" s="333"/>
      <c r="G93" s="333"/>
    </row>
    <row r="94" spans="2:7">
      <c r="B94" s="333"/>
      <c r="C94" s="333"/>
      <c r="D94" s="333"/>
      <c r="E94" s="333"/>
      <c r="F94" s="333"/>
      <c r="G94" s="333"/>
    </row>
    <row r="95" spans="2:7">
      <c r="B95" s="338" t="s">
        <v>301</v>
      </c>
      <c r="C95" s="333"/>
      <c r="D95" s="333"/>
      <c r="E95" s="333"/>
      <c r="F95" s="333"/>
      <c r="G95" s="333"/>
    </row>
    <row r="96" spans="2:7">
      <c r="B96" s="333"/>
      <c r="C96" s="333"/>
      <c r="D96" s="333"/>
      <c r="E96" s="333"/>
      <c r="F96" s="333"/>
      <c r="G96" s="333"/>
    </row>
    <row r="97" spans="2:7">
      <c r="B97" s="333"/>
      <c r="C97" s="333"/>
      <c r="D97" s="353" t="s">
        <v>536</v>
      </c>
      <c r="E97" s="353" t="s">
        <v>511</v>
      </c>
      <c r="F97" s="333"/>
      <c r="G97" s="333"/>
    </row>
    <row r="98" spans="2:7">
      <c r="B98" s="333"/>
      <c r="C98" s="333"/>
      <c r="D98" s="333">
        <v>2023</v>
      </c>
      <c r="E98" s="346">
        <f>VLOOKUP($E$4,'Amortization Tables_Report'!$A$10:$G$319,3,FALSE)</f>
        <v>-113002101</v>
      </c>
      <c r="F98" s="336" t="s">
        <v>537</v>
      </c>
      <c r="G98" s="333"/>
    </row>
    <row r="99" spans="2:7">
      <c r="B99" s="333"/>
      <c r="C99" s="333"/>
      <c r="D99" s="333">
        <v>2024</v>
      </c>
      <c r="E99" s="346">
        <f>VLOOKUP($E$4,'Amortization Tables_Report'!$A$10:$G$319,4,FALSE)</f>
        <v>-71105438</v>
      </c>
      <c r="F99" s="336" t="s">
        <v>537</v>
      </c>
      <c r="G99" s="333"/>
    </row>
    <row r="100" spans="2:7">
      <c r="B100" s="333"/>
      <c r="C100" s="333"/>
      <c r="D100" s="333">
        <v>2025</v>
      </c>
      <c r="E100" s="346">
        <f>VLOOKUP($E$4,'Amortization Tables_Report'!$A$10:$G$319,5,FALSE)</f>
        <v>-40776759</v>
      </c>
      <c r="F100" s="336" t="s">
        <v>537</v>
      </c>
      <c r="G100" s="333"/>
    </row>
    <row r="101" spans="2:7">
      <c r="B101" s="333"/>
      <c r="C101" s="333"/>
      <c r="D101" s="333">
        <v>2026</v>
      </c>
      <c r="E101" s="346">
        <f>VLOOKUP($E$4,'Amortization Tables_Report'!$A$10:$G$319,6,FALSE)</f>
        <v>-8960885</v>
      </c>
      <c r="F101" s="336" t="s">
        <v>537</v>
      </c>
      <c r="G101" s="333"/>
    </row>
    <row r="102" spans="2:7">
      <c r="B102" s="333"/>
      <c r="C102" s="333"/>
      <c r="D102" s="333">
        <v>2027</v>
      </c>
      <c r="E102" s="346">
        <f>VLOOKUP($E$4,'Amortization Tables_Report'!$A$10:$G$319,7,FALSE)</f>
        <v>-32307473</v>
      </c>
      <c r="F102" s="336" t="s">
        <v>537</v>
      </c>
      <c r="G102" s="333"/>
    </row>
    <row r="103" spans="2:7" ht="15.75" thickBot="1">
      <c r="B103" s="333"/>
      <c r="C103" s="333"/>
      <c r="D103" s="353" t="s">
        <v>373</v>
      </c>
      <c r="E103" s="350">
        <f>SUM(E98:E102)</f>
        <v>-266152656</v>
      </c>
      <c r="F103" s="333"/>
      <c r="G103" s="333"/>
    </row>
    <row r="104" spans="2:7" ht="15.75" thickTop="1">
      <c r="B104" s="333"/>
      <c r="C104" s="333"/>
      <c r="D104" s="333"/>
      <c r="E104" s="333"/>
      <c r="F104" s="342"/>
      <c r="G104" s="333"/>
    </row>
    <row r="105" spans="2:7">
      <c r="B105" s="333"/>
      <c r="C105" s="333"/>
      <c r="D105" s="333"/>
      <c r="E105" s="333"/>
      <c r="F105" s="333"/>
      <c r="G105" s="333"/>
    </row>
    <row r="106" spans="2:7">
      <c r="B106" s="338" t="s">
        <v>538</v>
      </c>
      <c r="C106" s="333"/>
      <c r="D106" s="333"/>
      <c r="E106" s="333"/>
      <c r="F106" s="333"/>
      <c r="G106" s="333"/>
    </row>
    <row r="107" spans="2:7">
      <c r="B107" s="333"/>
      <c r="C107" s="333"/>
      <c r="D107" s="333"/>
      <c r="E107" s="333"/>
      <c r="F107" s="333"/>
      <c r="G107" s="333"/>
    </row>
    <row r="108" spans="2:7">
      <c r="B108" s="333" t="s">
        <v>539</v>
      </c>
      <c r="C108" s="333"/>
      <c r="D108" s="333"/>
      <c r="E108" s="333"/>
      <c r="F108" s="333"/>
      <c r="G108" s="333"/>
    </row>
    <row r="109" spans="2:7">
      <c r="B109" s="333"/>
      <c r="C109" s="333"/>
      <c r="D109" s="333"/>
      <c r="E109" s="333"/>
      <c r="F109" s="333"/>
      <c r="G109" s="333"/>
    </row>
    <row r="110" spans="2:7">
      <c r="B110" s="333"/>
      <c r="C110" s="333"/>
      <c r="D110" s="333"/>
      <c r="E110" s="354">
        <v>2022</v>
      </c>
      <c r="F110" s="333"/>
      <c r="G110" s="333"/>
    </row>
    <row r="111" spans="2:7">
      <c r="B111" s="333"/>
      <c r="C111" s="333"/>
      <c r="D111" s="333"/>
      <c r="E111" s="335"/>
      <c r="F111" s="333"/>
      <c r="G111" s="333"/>
    </row>
    <row r="112" spans="2:7">
      <c r="B112" s="333" t="s">
        <v>540</v>
      </c>
      <c r="C112" s="333"/>
      <c r="D112" s="333"/>
      <c r="E112" s="333"/>
      <c r="F112" s="333"/>
      <c r="G112" s="333"/>
    </row>
    <row r="113" spans="2:7">
      <c r="B113" s="333" t="s">
        <v>541</v>
      </c>
      <c r="C113" s="333"/>
      <c r="D113" s="333"/>
      <c r="E113" s="355">
        <f>+E20</f>
        <v>0.24123510000000001</v>
      </c>
      <c r="F113" s="336" t="s">
        <v>513</v>
      </c>
      <c r="G113" s="333"/>
    </row>
    <row r="114" spans="2:7">
      <c r="B114" s="333"/>
      <c r="C114" s="333"/>
      <c r="D114" s="333"/>
      <c r="E114" s="333"/>
      <c r="F114" s="333"/>
      <c r="G114" s="333"/>
    </row>
    <row r="115" spans="2:7">
      <c r="B115" s="333" t="s">
        <v>542</v>
      </c>
      <c r="C115" s="333"/>
      <c r="D115" s="333"/>
      <c r="E115" s="333"/>
      <c r="F115" s="333"/>
      <c r="G115" s="333"/>
    </row>
    <row r="116" spans="2:7">
      <c r="B116" s="333" t="s">
        <v>543</v>
      </c>
      <c r="C116" s="333"/>
      <c r="D116" s="333"/>
      <c r="E116" s="356">
        <f>+E28</f>
        <v>793747857</v>
      </c>
      <c r="F116" s="336" t="s">
        <v>394</v>
      </c>
      <c r="G116" s="333"/>
    </row>
    <row r="117" spans="2:7">
      <c r="B117" s="333"/>
      <c r="C117" s="333"/>
      <c r="D117" s="333"/>
      <c r="E117" s="333"/>
      <c r="F117" s="333"/>
      <c r="G117" s="333"/>
    </row>
    <row r="118" spans="2:7">
      <c r="B118" s="333" t="s">
        <v>544</v>
      </c>
      <c r="C118" s="333"/>
      <c r="D118" s="333"/>
      <c r="E118" s="356">
        <f>+E113*4614243876</f>
        <v>1113117582.8512475</v>
      </c>
      <c r="F118" s="336" t="s">
        <v>572</v>
      </c>
      <c r="G118" s="333"/>
    </row>
    <row r="119" spans="2:7">
      <c r="B119" s="333"/>
      <c r="C119" s="333"/>
      <c r="D119" s="333"/>
      <c r="E119" s="333"/>
      <c r="F119" s="343" t="s">
        <v>545</v>
      </c>
      <c r="G119" s="333"/>
    </row>
    <row r="120" spans="2:7">
      <c r="B120" s="333"/>
      <c r="C120" s="333"/>
      <c r="D120" s="333"/>
      <c r="E120" s="333"/>
      <c r="F120" s="333"/>
      <c r="G120" s="333"/>
    </row>
    <row r="121" spans="2:7">
      <c r="B121" s="333" t="s">
        <v>546</v>
      </c>
      <c r="C121" s="333"/>
      <c r="D121" s="333"/>
      <c r="E121" s="333"/>
      <c r="F121" s="333"/>
      <c r="G121" s="333"/>
    </row>
    <row r="122" spans="2:7">
      <c r="B122" s="333" t="s">
        <v>547</v>
      </c>
      <c r="C122" s="333"/>
      <c r="D122" s="333"/>
      <c r="E122" s="333"/>
      <c r="F122" s="333"/>
      <c r="G122" s="333"/>
    </row>
    <row r="123" spans="2:7">
      <c r="B123" s="333" t="s">
        <v>548</v>
      </c>
      <c r="C123" s="333"/>
      <c r="D123" s="333"/>
      <c r="E123" s="331">
        <v>0.71309999999999996</v>
      </c>
      <c r="F123" s="336" t="s">
        <v>549</v>
      </c>
      <c r="G123" s="333"/>
    </row>
    <row r="124" spans="2:7">
      <c r="B124" s="333"/>
      <c r="C124" s="333"/>
      <c r="D124" s="333"/>
      <c r="E124" s="333"/>
      <c r="F124" s="333"/>
      <c r="G124" s="333"/>
    </row>
    <row r="125" spans="2:7">
      <c r="B125" s="333" t="s">
        <v>550</v>
      </c>
      <c r="C125" s="333"/>
      <c r="D125" s="333"/>
      <c r="E125" s="333"/>
      <c r="F125" s="333"/>
      <c r="G125" s="333"/>
    </row>
    <row r="126" spans="2:7">
      <c r="B126" s="333" t="s">
        <v>551</v>
      </c>
      <c r="C126" s="333"/>
      <c r="D126" s="333"/>
      <c r="E126" s="333"/>
      <c r="F126" s="333"/>
      <c r="G126" s="333"/>
    </row>
    <row r="127" spans="2:7">
      <c r="B127" s="333" t="s">
        <v>541</v>
      </c>
      <c r="C127" s="333"/>
      <c r="D127" s="333"/>
      <c r="E127" s="332">
        <v>0.25390000000000001</v>
      </c>
      <c r="F127" s="336" t="s">
        <v>573</v>
      </c>
      <c r="G127" s="333"/>
    </row>
    <row r="128" spans="2:7">
      <c r="B128" s="333"/>
      <c r="C128" s="333"/>
      <c r="D128" s="333"/>
      <c r="E128" s="333"/>
      <c r="F128" s="333"/>
      <c r="G128" s="333"/>
    </row>
    <row r="129" spans="2:7">
      <c r="B129" s="333"/>
      <c r="C129" s="333"/>
      <c r="D129" s="333"/>
      <c r="E129" s="333"/>
      <c r="F129" s="333"/>
      <c r="G129" s="333"/>
    </row>
    <row r="130" spans="2:7">
      <c r="B130" s="333" t="s">
        <v>552</v>
      </c>
      <c r="C130" s="333"/>
      <c r="D130" s="333"/>
      <c r="E130" s="333"/>
      <c r="F130" s="333"/>
      <c r="G130" s="333"/>
    </row>
    <row r="131" spans="2:7">
      <c r="B131" s="333"/>
      <c r="C131" s="333"/>
      <c r="D131" s="333"/>
      <c r="E131" s="333"/>
      <c r="F131" s="333"/>
      <c r="G131" s="333"/>
    </row>
    <row r="132" spans="2:7">
      <c r="B132" s="333"/>
      <c r="C132" s="333"/>
      <c r="D132" s="333"/>
      <c r="E132" s="354">
        <v>2022</v>
      </c>
      <c r="F132" s="333"/>
      <c r="G132" s="333"/>
    </row>
    <row r="133" spans="2:7">
      <c r="B133" s="333"/>
      <c r="C133" s="333"/>
      <c r="D133" s="333"/>
      <c r="E133" s="335"/>
      <c r="F133" s="333"/>
      <c r="G133" s="333"/>
    </row>
    <row r="134" spans="2:7">
      <c r="B134" s="333" t="s">
        <v>553</v>
      </c>
      <c r="C134" s="333"/>
      <c r="D134" s="333"/>
      <c r="E134" s="356">
        <f>+E9</f>
        <v>0</v>
      </c>
      <c r="F134" s="336" t="s">
        <v>505</v>
      </c>
      <c r="G134" s="333"/>
    </row>
    <row r="135" spans="2:7">
      <c r="B135" s="333"/>
      <c r="C135" s="333"/>
      <c r="D135" s="333"/>
      <c r="E135" s="333"/>
      <c r="F135" s="333"/>
      <c r="G135" s="333"/>
    </row>
    <row r="136" spans="2:7">
      <c r="B136" s="333" t="s">
        <v>554</v>
      </c>
      <c r="C136" s="333"/>
      <c r="D136" s="333"/>
      <c r="E136" s="333"/>
      <c r="F136" s="333"/>
      <c r="G136" s="333"/>
    </row>
    <row r="137" spans="2:7">
      <c r="B137" s="333" t="s">
        <v>555</v>
      </c>
      <c r="C137" s="333"/>
      <c r="D137" s="333"/>
      <c r="E137" s="346">
        <f>+E9</f>
        <v>0</v>
      </c>
      <c r="F137" s="336" t="s">
        <v>549</v>
      </c>
      <c r="G137" s="333"/>
    </row>
    <row r="138" spans="2:7">
      <c r="B138" s="333"/>
      <c r="C138" s="333"/>
      <c r="D138" s="333"/>
      <c r="E138" s="346"/>
      <c r="F138" s="333"/>
      <c r="G138" s="333"/>
    </row>
    <row r="139" spans="2:7" ht="15.75" thickBot="1">
      <c r="B139" s="333" t="s">
        <v>556</v>
      </c>
      <c r="C139" s="333"/>
      <c r="D139" s="333"/>
      <c r="E139" s="330">
        <v>0</v>
      </c>
      <c r="F139" s="333"/>
      <c r="G139" s="333"/>
    </row>
    <row r="140" spans="2:7" ht="15.75" thickTop="1">
      <c r="B140" s="333"/>
      <c r="C140" s="333"/>
      <c r="D140" s="333"/>
      <c r="E140" s="333"/>
      <c r="F140" s="333"/>
      <c r="G140" s="333"/>
    </row>
    <row r="141" spans="2:7">
      <c r="B141" s="333" t="s">
        <v>557</v>
      </c>
      <c r="C141" s="333"/>
      <c r="D141" s="333"/>
      <c r="E141" s="356">
        <f>+E11</f>
        <v>0</v>
      </c>
      <c r="F141" s="336" t="s">
        <v>574</v>
      </c>
      <c r="G141" s="333"/>
    </row>
    <row r="142" spans="2:7">
      <c r="B142" s="333"/>
      <c r="C142" s="333"/>
      <c r="D142" s="333"/>
      <c r="E142" s="333"/>
      <c r="F142" s="343" t="s">
        <v>558</v>
      </c>
      <c r="G142" s="333"/>
    </row>
    <row r="143" spans="2:7">
      <c r="B143" s="333" t="s">
        <v>559</v>
      </c>
      <c r="C143" s="333"/>
      <c r="D143" s="333"/>
      <c r="E143" s="333"/>
      <c r="F143" s="333"/>
      <c r="G143" s="333"/>
    </row>
    <row r="144" spans="2:7">
      <c r="B144" s="333" t="s">
        <v>560</v>
      </c>
      <c r="C144" s="333"/>
      <c r="D144" s="333"/>
      <c r="E144" s="331" t="e">
        <f>+E137/E141</f>
        <v>#DIV/0!</v>
      </c>
      <c r="F144" s="336" t="s">
        <v>549</v>
      </c>
      <c r="G144" s="333"/>
    </row>
    <row r="145" spans="2:7">
      <c r="B145" s="326"/>
      <c r="C145" s="326"/>
      <c r="D145" s="326"/>
      <c r="E145" s="326"/>
      <c r="F145" s="326"/>
      <c r="G145" s="326"/>
    </row>
    <row r="146" spans="2:7">
      <c r="B146" s="326"/>
      <c r="C146" s="326"/>
      <c r="D146" s="326"/>
      <c r="E146" s="326"/>
      <c r="F146" s="326"/>
      <c r="G146" s="326"/>
    </row>
  </sheetData>
  <sheetProtection algorithmName="SHA-512" hashValue="1coarLd53gO1y1QdGgEO/8xScLA9E3ssRG/8Xn+PjV3QBbB/OfriHg3a6VsLJfMKNkymrjegYQcq7wfZADhpqw==" saltValue="K+kzl9CRmSlG99OcrtYG4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Q325"/>
  <sheetViews>
    <sheetView view="pageBreakPreview" topLeftCell="C1" zoomScale="120" zoomScaleNormal="100" zoomScaleSheetLayoutView="120" workbookViewId="0">
      <pane ySplit="2" topLeftCell="A299" activePane="bottomLeft" state="frozen"/>
      <selection activeCell="A10" sqref="A10:G10"/>
      <selection pane="bottomLeft" activeCell="A10" sqref="A10:G10"/>
    </sheetView>
  </sheetViews>
  <sheetFormatPr defaultColWidth="9.28515625" defaultRowHeight="12.75"/>
  <cols>
    <col min="1" max="1" width="12.28515625" style="6" customWidth="1"/>
    <col min="2" max="2" width="64.42578125" style="6" bestFit="1" customWidth="1"/>
    <col min="3" max="3" width="15.7109375" style="6" customWidth="1"/>
    <col min="4" max="4" width="2.28515625" style="6" customWidth="1"/>
    <col min="5" max="5" width="14.42578125" style="7" customWidth="1"/>
    <col min="6" max="6" width="2.42578125" style="7" customWidth="1"/>
    <col min="7" max="7" width="15.28515625" style="7" customWidth="1"/>
    <col min="8" max="9" width="17" style="7" bestFit="1" customWidth="1"/>
    <col min="10" max="10" width="9" style="11" customWidth="1"/>
    <col min="11" max="11" width="15.42578125" style="6" customWidth="1"/>
    <col min="12" max="12" width="10.7109375" style="6" bestFit="1" customWidth="1"/>
    <col min="13" max="16" width="11" style="6" bestFit="1" customWidth="1"/>
    <col min="17" max="17" width="9.42578125" style="6" bestFit="1" customWidth="1"/>
    <col min="18" max="16384" width="9.28515625" style="6"/>
  </cols>
  <sheetData>
    <row r="1" spans="1:17" s="142" customFormat="1">
      <c r="E1" s="143"/>
      <c r="F1" s="143"/>
      <c r="G1" s="143"/>
      <c r="H1" s="143"/>
      <c r="I1" s="143"/>
      <c r="J1" s="11"/>
      <c r="L1" s="153" t="s">
        <v>316</v>
      </c>
      <c r="M1" s="152"/>
      <c r="N1" s="152"/>
      <c r="O1" s="152"/>
      <c r="P1" s="152"/>
      <c r="Q1" s="152"/>
    </row>
    <row r="2" spans="1:17" ht="51">
      <c r="A2" s="55" t="s">
        <v>0</v>
      </c>
      <c r="B2" s="56" t="s">
        <v>1</v>
      </c>
      <c r="C2" s="55" t="s">
        <v>467</v>
      </c>
      <c r="D2" s="55"/>
      <c r="E2" s="55" t="s">
        <v>433</v>
      </c>
      <c r="F2" s="55"/>
      <c r="G2" s="55" t="s">
        <v>380</v>
      </c>
      <c r="H2" s="55" t="s">
        <v>383</v>
      </c>
      <c r="I2" s="55" t="s">
        <v>384</v>
      </c>
      <c r="J2" s="6"/>
      <c r="L2" s="216">
        <v>2023</v>
      </c>
      <c r="M2" s="216">
        <v>2024</v>
      </c>
      <c r="N2" s="216">
        <v>2025</v>
      </c>
      <c r="O2" s="216">
        <v>2026</v>
      </c>
      <c r="P2" s="142">
        <v>2027</v>
      </c>
      <c r="Q2" s="152" t="s">
        <v>385</v>
      </c>
    </row>
    <row r="3" spans="1:17">
      <c r="A3" s="22"/>
      <c r="B3" s="23"/>
      <c r="C3" s="23" t="s">
        <v>4</v>
      </c>
      <c r="D3" s="11"/>
      <c r="E3" s="6"/>
      <c r="F3" s="6"/>
      <c r="G3" s="6"/>
      <c r="H3" s="6"/>
      <c r="I3" s="6"/>
      <c r="J3" s="6"/>
    </row>
    <row r="4" spans="1:17">
      <c r="A4" s="22"/>
      <c r="B4" s="23"/>
      <c r="C4" s="23"/>
      <c r="D4" s="11"/>
      <c r="E4" s="121"/>
      <c r="F4" s="121"/>
      <c r="G4" s="122"/>
      <c r="H4" s="123"/>
      <c r="I4" s="123"/>
      <c r="J4" s="123"/>
      <c r="K4" s="124"/>
    </row>
    <row r="5" spans="1:17">
      <c r="A5" s="62">
        <v>1341</v>
      </c>
      <c r="B5" s="63" t="s">
        <v>5</v>
      </c>
      <c r="C5" s="54">
        <f>VLOOKUP(A5,'Contribution Allocation_Report'!$A$9:$D$310,4,FALSE)</f>
        <v>0.24123510000000001</v>
      </c>
      <c r="D5" s="11"/>
      <c r="E5" s="277">
        <f>VLOOKUP(A5,Contributions_20!$A$9:$D$308,4,FALSE)</f>
        <v>0.24027809999999938</v>
      </c>
      <c r="F5" s="132"/>
      <c r="G5" s="148">
        <f>ROUND((E5-C5)*$G$322,0)-6</f>
        <v>4634907</v>
      </c>
      <c r="H5" s="129">
        <f>ROUND(G5/5.98,0)+4</f>
        <v>775072</v>
      </c>
      <c r="I5" s="129">
        <f>G5-H5</f>
        <v>3859835</v>
      </c>
      <c r="J5" s="138"/>
      <c r="K5" s="126"/>
      <c r="L5" s="280">
        <f>ROUND($I5/4.98,0)-9</f>
        <v>775058</v>
      </c>
      <c r="M5" s="280">
        <f>ROUND($I5/4.98,0)-9</f>
        <v>775058</v>
      </c>
      <c r="N5" s="280">
        <f>ROUND($I5/4.98,0)-9</f>
        <v>775058</v>
      </c>
      <c r="O5" s="280">
        <f>ROUND($I5/4.98,0)-9</f>
        <v>775058</v>
      </c>
      <c r="P5" s="281">
        <f t="shared" ref="P5" si="0">I5-SUM(L5:O5)</f>
        <v>759603</v>
      </c>
      <c r="Q5" s="155">
        <f>+I5-SUM(L5:P5)</f>
        <v>0</v>
      </c>
    </row>
    <row r="6" spans="1:17">
      <c r="A6" s="64">
        <v>2308</v>
      </c>
      <c r="B6" s="65" t="s">
        <v>6</v>
      </c>
      <c r="C6" s="20">
        <f>VLOOKUP(A6,'Contribution Allocation_Report'!$A$9:$D$310,4,FALSE)</f>
        <v>3.7619999999999998E-4</v>
      </c>
      <c r="D6" s="11"/>
      <c r="E6" s="277">
        <f>VLOOKUP(A6,Contributions_20!$A$9:$D$308,4,FALSE)</f>
        <v>3.0180000000000002E-4</v>
      </c>
      <c r="F6" s="132"/>
      <c r="G6" s="148">
        <f t="shared" ref="G6:G37" si="1">ROUND((E6-C6)*$G$322,0)</f>
        <v>360332</v>
      </c>
      <c r="H6" s="276">
        <f t="shared" ref="H6:H70" si="2">ROUND(G6/5.98,0)</f>
        <v>60256</v>
      </c>
      <c r="I6" s="129">
        <f>G6-H6</f>
        <v>300076</v>
      </c>
      <c r="J6" s="138"/>
      <c r="K6" s="126"/>
      <c r="L6" s="280">
        <f t="shared" ref="L6:N70" si="3">ROUND($I6/4.98,0)</f>
        <v>60256</v>
      </c>
      <c r="M6" s="280">
        <f t="shared" si="3"/>
        <v>60256</v>
      </c>
      <c r="N6" s="280">
        <f t="shared" si="3"/>
        <v>60256</v>
      </c>
      <c r="O6" s="280">
        <f t="shared" ref="O6:O70" si="4">ROUND($I6/4.98,0)</f>
        <v>60256</v>
      </c>
      <c r="P6" s="155">
        <f t="shared" ref="P6:P70" si="5">I6-SUM(L6:O6)</f>
        <v>59052</v>
      </c>
      <c r="Q6" s="155">
        <f t="shared" ref="Q6:Q70" si="6">+I6-SUM(L6:P6)</f>
        <v>0</v>
      </c>
    </row>
    <row r="7" spans="1:17">
      <c r="A7" s="62">
        <v>2340</v>
      </c>
      <c r="B7" s="66" t="s">
        <v>7</v>
      </c>
      <c r="C7" s="21">
        <f>VLOOKUP(A7,'Contribution Allocation_Report'!$A$9:$D$310,4,FALSE)</f>
        <v>4.0479999999999997E-4</v>
      </c>
      <c r="D7" s="11"/>
      <c r="E7" s="277">
        <f>VLOOKUP(A7,Contributions_20!$A$9:$D$308,4,FALSE)</f>
        <v>3.9409999999999998E-4</v>
      </c>
      <c r="F7" s="132"/>
      <c r="G7" s="148">
        <f t="shared" si="1"/>
        <v>51822</v>
      </c>
      <c r="H7" s="276">
        <f t="shared" si="2"/>
        <v>8666</v>
      </c>
      <c r="I7" s="129">
        <f t="shared" ref="I7:I71" si="7">G7-H7</f>
        <v>43156</v>
      </c>
      <c r="J7" s="129"/>
      <c r="K7" s="126"/>
      <c r="L7" s="280">
        <f t="shared" si="3"/>
        <v>8666</v>
      </c>
      <c r="M7" s="280">
        <f t="shared" si="3"/>
        <v>8666</v>
      </c>
      <c r="N7" s="280">
        <f t="shared" si="3"/>
        <v>8666</v>
      </c>
      <c r="O7" s="280">
        <f t="shared" si="4"/>
        <v>8666</v>
      </c>
      <c r="P7" s="155">
        <f t="shared" si="5"/>
        <v>8492</v>
      </c>
      <c r="Q7" s="155">
        <f t="shared" si="6"/>
        <v>0</v>
      </c>
    </row>
    <row r="8" spans="1:17">
      <c r="A8" s="64">
        <v>1301</v>
      </c>
      <c r="B8" s="65" t="s">
        <v>8</v>
      </c>
      <c r="C8" s="20">
        <f>VLOOKUP(A8,'Contribution Allocation_Report'!$A$9:$D$310,4,FALSE)</f>
        <v>4.7800000000000002E-4</v>
      </c>
      <c r="D8" s="11"/>
      <c r="E8" s="277">
        <f>VLOOKUP(A8,Contributions_20!$A$9:$D$308,4,FALSE)</f>
        <v>4.3399999999999998E-4</v>
      </c>
      <c r="F8" s="132"/>
      <c r="G8" s="148">
        <f t="shared" si="1"/>
        <v>213099</v>
      </c>
      <c r="H8" s="276">
        <f t="shared" si="2"/>
        <v>35635</v>
      </c>
      <c r="I8" s="129">
        <f t="shared" si="7"/>
        <v>177464</v>
      </c>
      <c r="J8" s="129"/>
      <c r="K8" s="126"/>
      <c r="L8" s="280">
        <f t="shared" si="3"/>
        <v>35635</v>
      </c>
      <c r="M8" s="280">
        <f t="shared" si="3"/>
        <v>35635</v>
      </c>
      <c r="N8" s="280">
        <f t="shared" si="3"/>
        <v>35635</v>
      </c>
      <c r="O8" s="280">
        <f t="shared" si="4"/>
        <v>35635</v>
      </c>
      <c r="P8" s="155">
        <f t="shared" si="5"/>
        <v>34924</v>
      </c>
      <c r="Q8" s="155">
        <f t="shared" si="6"/>
        <v>0</v>
      </c>
    </row>
    <row r="9" spans="1:17">
      <c r="A9" s="62">
        <v>2390</v>
      </c>
      <c r="B9" s="66" t="s">
        <v>9</v>
      </c>
      <c r="C9" s="21">
        <f>VLOOKUP(A9,'Contribution Allocation_Report'!$A$9:$D$310,4,FALSE)</f>
        <v>3.235E-4</v>
      </c>
      <c r="D9" s="11"/>
      <c r="E9" s="277">
        <f>VLOOKUP(A9,Contributions_20!$A$9:$D$308,4,FALSE)</f>
        <v>3.011E-4</v>
      </c>
      <c r="F9" s="132"/>
      <c r="G9" s="148">
        <f t="shared" si="1"/>
        <v>108487</v>
      </c>
      <c r="H9" s="276">
        <f t="shared" si="2"/>
        <v>18142</v>
      </c>
      <c r="I9" s="129">
        <f t="shared" si="7"/>
        <v>90345</v>
      </c>
      <c r="J9" s="129"/>
      <c r="K9" s="126"/>
      <c r="L9" s="280">
        <f t="shared" si="3"/>
        <v>18142</v>
      </c>
      <c r="M9" s="280">
        <f t="shared" si="3"/>
        <v>18142</v>
      </c>
      <c r="N9" s="280">
        <f t="shared" si="3"/>
        <v>18142</v>
      </c>
      <c r="O9" s="280">
        <f t="shared" si="4"/>
        <v>18142</v>
      </c>
      <c r="P9" s="155">
        <f t="shared" si="5"/>
        <v>17777</v>
      </c>
      <c r="Q9" s="155">
        <f t="shared" si="6"/>
        <v>0</v>
      </c>
    </row>
    <row r="10" spans="1:17" s="216" customFormat="1">
      <c r="A10" s="254">
        <v>2441</v>
      </c>
      <c r="B10" s="255" t="s">
        <v>444</v>
      </c>
      <c r="C10" s="226">
        <f>VLOOKUP(A10,'Contribution Allocation_Report'!$A$9:$D$310,4,FALSE)</f>
        <v>8.0900000000000001E-5</v>
      </c>
      <c r="D10" s="11"/>
      <c r="E10" s="277">
        <v>0</v>
      </c>
      <c r="F10" s="132"/>
      <c r="G10" s="278">
        <f t="shared" si="1"/>
        <v>391812</v>
      </c>
      <c r="H10" s="276">
        <f t="shared" ref="H10" si="8">ROUND(G10/5.98,0)</f>
        <v>65520</v>
      </c>
      <c r="I10" s="276">
        <f t="shared" ref="I10" si="9">G10-H10</f>
        <v>326292</v>
      </c>
      <c r="J10" s="276"/>
      <c r="K10" s="126"/>
      <c r="L10" s="280">
        <f t="shared" si="3"/>
        <v>65520</v>
      </c>
      <c r="M10" s="280">
        <f t="shared" si="3"/>
        <v>65520</v>
      </c>
      <c r="N10" s="280">
        <f t="shared" si="3"/>
        <v>65520</v>
      </c>
      <c r="O10" s="280">
        <f t="shared" si="4"/>
        <v>65520</v>
      </c>
      <c r="P10" s="281">
        <f t="shared" ref="P10" si="10">I10-SUM(L10:O10)</f>
        <v>64212</v>
      </c>
      <c r="Q10" s="281">
        <f t="shared" ref="Q10" si="11">+I10-SUM(L10:P10)</f>
        <v>0</v>
      </c>
    </row>
    <row r="11" spans="1:17">
      <c r="A11" s="64">
        <v>15046</v>
      </c>
      <c r="B11" s="65" t="s">
        <v>10</v>
      </c>
      <c r="C11" s="20">
        <f>VLOOKUP(A11,'Contribution Allocation_Report'!$A$9:$D$310,4,FALSE)</f>
        <v>7.0288E-3</v>
      </c>
      <c r="D11" s="11"/>
      <c r="E11" s="277">
        <f>VLOOKUP(A11,Contributions_20!$A$9:$D$308,4,FALSE)</f>
        <v>7.0790000000000002E-3</v>
      </c>
      <c r="F11" s="132"/>
      <c r="G11" s="148">
        <f t="shared" si="1"/>
        <v>-243127</v>
      </c>
      <c r="H11" s="276">
        <f t="shared" si="2"/>
        <v>-40657</v>
      </c>
      <c r="I11" s="129">
        <f t="shared" si="7"/>
        <v>-202470</v>
      </c>
      <c r="J11" s="129"/>
      <c r="K11" s="126"/>
      <c r="L11" s="280">
        <f t="shared" si="3"/>
        <v>-40657</v>
      </c>
      <c r="M11" s="280">
        <f t="shared" si="3"/>
        <v>-40657</v>
      </c>
      <c r="N11" s="280">
        <f t="shared" si="3"/>
        <v>-40657</v>
      </c>
      <c r="O11" s="280">
        <f t="shared" si="4"/>
        <v>-40657</v>
      </c>
      <c r="P11" s="155">
        <f t="shared" si="5"/>
        <v>-39842</v>
      </c>
      <c r="Q11" s="155">
        <f t="shared" si="6"/>
        <v>0</v>
      </c>
    </row>
    <row r="12" spans="1:17">
      <c r="A12" s="62">
        <v>4380</v>
      </c>
      <c r="B12" s="66" t="s">
        <v>11</v>
      </c>
      <c r="C12" s="21">
        <f>VLOOKUP(A12,'Contribution Allocation_Report'!$A$9:$D$310,4,FALSE)</f>
        <v>7.2471000000000002E-3</v>
      </c>
      <c r="D12" s="11"/>
      <c r="E12" s="277">
        <f>VLOOKUP(A12,Contributions_20!$A$9:$D$308,4,FALSE)</f>
        <v>7.1745999999999997E-3</v>
      </c>
      <c r="F12" s="132"/>
      <c r="G12" s="148">
        <f t="shared" si="1"/>
        <v>351130</v>
      </c>
      <c r="H12" s="276">
        <f t="shared" si="2"/>
        <v>58717</v>
      </c>
      <c r="I12" s="129">
        <f t="shared" si="7"/>
        <v>292413</v>
      </c>
      <c r="J12" s="129"/>
      <c r="K12" s="126"/>
      <c r="L12" s="280">
        <f t="shared" si="3"/>
        <v>58717</v>
      </c>
      <c r="M12" s="280">
        <f t="shared" si="3"/>
        <v>58717</v>
      </c>
      <c r="N12" s="280">
        <f t="shared" si="3"/>
        <v>58717</v>
      </c>
      <c r="O12" s="280">
        <f t="shared" si="4"/>
        <v>58717</v>
      </c>
      <c r="P12" s="155">
        <f t="shared" si="5"/>
        <v>57545</v>
      </c>
      <c r="Q12" s="155">
        <f t="shared" si="6"/>
        <v>0</v>
      </c>
    </row>
    <row r="13" spans="1:17">
      <c r="A13" s="64">
        <v>2435</v>
      </c>
      <c r="B13" s="65" t="s">
        <v>409</v>
      </c>
      <c r="C13" s="20">
        <f>VLOOKUP(A13,'Contribution Allocation_Report'!$A$9:$D$310,4,FALSE)</f>
        <v>1.4249999999999999E-4</v>
      </c>
      <c r="D13" s="11"/>
      <c r="E13" s="277">
        <f>VLOOKUP(A13,Contributions_20!$A$9:$D$308,4,FALSE)</f>
        <v>9.6399999999999999E-5</v>
      </c>
      <c r="F13" s="132"/>
      <c r="G13" s="148">
        <f t="shared" si="1"/>
        <v>223270</v>
      </c>
      <c r="H13" s="276">
        <f t="shared" si="2"/>
        <v>37336</v>
      </c>
      <c r="I13" s="129">
        <f t="shared" si="7"/>
        <v>185934</v>
      </c>
      <c r="J13" s="129"/>
      <c r="K13" s="126"/>
      <c r="L13" s="280">
        <f t="shared" si="3"/>
        <v>37336</v>
      </c>
      <c r="M13" s="280">
        <f t="shared" si="3"/>
        <v>37336</v>
      </c>
      <c r="N13" s="280">
        <f t="shared" si="3"/>
        <v>37336</v>
      </c>
      <c r="O13" s="280">
        <f t="shared" si="4"/>
        <v>37336</v>
      </c>
      <c r="P13" s="155">
        <f t="shared" si="5"/>
        <v>36590</v>
      </c>
      <c r="Q13" s="155">
        <f t="shared" si="6"/>
        <v>0</v>
      </c>
    </row>
    <row r="14" spans="1:17">
      <c r="A14" s="62">
        <v>4560</v>
      </c>
      <c r="B14" s="66" t="s">
        <v>12</v>
      </c>
      <c r="C14" s="21">
        <f>VLOOKUP(A14,'Contribution Allocation_Report'!$A$9:$D$310,4,FALSE)</f>
        <v>6.3080000000000005E-4</v>
      </c>
      <c r="D14" s="11"/>
      <c r="E14" s="277">
        <f>VLOOKUP(A14,Contributions_20!$A$9:$D$308,4,FALSE)</f>
        <v>5.7890000000000003E-4</v>
      </c>
      <c r="F14" s="132"/>
      <c r="G14" s="148">
        <f t="shared" si="1"/>
        <v>251360</v>
      </c>
      <c r="H14" s="276">
        <f t="shared" si="2"/>
        <v>42033</v>
      </c>
      <c r="I14" s="129">
        <f t="shared" si="7"/>
        <v>209327</v>
      </c>
      <c r="J14" s="129"/>
      <c r="K14" s="126"/>
      <c r="L14" s="280">
        <f t="shared" si="3"/>
        <v>42034</v>
      </c>
      <c r="M14" s="280">
        <f t="shared" si="3"/>
        <v>42034</v>
      </c>
      <c r="N14" s="280">
        <f t="shared" si="3"/>
        <v>42034</v>
      </c>
      <c r="O14" s="280">
        <f t="shared" si="4"/>
        <v>42034</v>
      </c>
      <c r="P14" s="155">
        <f t="shared" si="5"/>
        <v>41191</v>
      </c>
      <c r="Q14" s="155">
        <f t="shared" si="6"/>
        <v>0</v>
      </c>
    </row>
    <row r="15" spans="1:17">
      <c r="A15" s="64">
        <v>2341</v>
      </c>
      <c r="B15" s="65" t="s">
        <v>440</v>
      </c>
      <c r="C15" s="20">
        <f>VLOOKUP(A15,'Contribution Allocation_Report'!$A$9:$D$310,4,FALSE)</f>
        <v>3.704E-4</v>
      </c>
      <c r="D15" s="11"/>
      <c r="E15" s="277">
        <f>VLOOKUP(A15,Contributions_20!$A$9:$D$308,4,FALSE)</f>
        <v>3.8759999999999999E-4</v>
      </c>
      <c r="F15" s="132"/>
      <c r="G15" s="148">
        <f t="shared" si="1"/>
        <v>-83303</v>
      </c>
      <c r="H15" s="276">
        <f t="shared" si="2"/>
        <v>-13930</v>
      </c>
      <c r="I15" s="129">
        <f t="shared" si="7"/>
        <v>-69373</v>
      </c>
      <c r="J15" s="129"/>
      <c r="K15" s="126"/>
      <c r="L15" s="280">
        <f t="shared" si="3"/>
        <v>-13930</v>
      </c>
      <c r="M15" s="280">
        <f t="shared" si="3"/>
        <v>-13930</v>
      </c>
      <c r="N15" s="280">
        <f t="shared" si="3"/>
        <v>-13930</v>
      </c>
      <c r="O15" s="280">
        <f t="shared" si="4"/>
        <v>-13930</v>
      </c>
      <c r="P15" s="155">
        <f t="shared" si="5"/>
        <v>-13653</v>
      </c>
      <c r="Q15" s="155">
        <f t="shared" si="6"/>
        <v>0</v>
      </c>
    </row>
    <row r="16" spans="1:17">
      <c r="A16" s="62">
        <v>4580</v>
      </c>
      <c r="B16" s="66" t="s">
        <v>410</v>
      </c>
      <c r="C16" s="21">
        <f>VLOOKUP(A16,'Contribution Allocation_Report'!$A$9:$D$310,4,FALSE)</f>
        <v>3.1060000000000001E-4</v>
      </c>
      <c r="D16" s="11"/>
      <c r="E16" s="277">
        <f>VLOOKUP(A16,Contributions_20!$A$9:$D$308,4,FALSE)</f>
        <v>3.1470000000000001E-4</v>
      </c>
      <c r="F16" s="132"/>
      <c r="G16" s="148">
        <f t="shared" si="1"/>
        <v>-19857</v>
      </c>
      <c r="H16" s="276">
        <f t="shared" si="2"/>
        <v>-3321</v>
      </c>
      <c r="I16" s="129">
        <f t="shared" si="7"/>
        <v>-16536</v>
      </c>
      <c r="J16" s="129"/>
      <c r="K16" s="126"/>
      <c r="L16" s="280">
        <f t="shared" si="3"/>
        <v>-3320</v>
      </c>
      <c r="M16" s="280">
        <f t="shared" si="3"/>
        <v>-3320</v>
      </c>
      <c r="N16" s="280">
        <f t="shared" si="3"/>
        <v>-3320</v>
      </c>
      <c r="O16" s="280">
        <f t="shared" si="4"/>
        <v>-3320</v>
      </c>
      <c r="P16" s="155">
        <f t="shared" si="5"/>
        <v>-3256</v>
      </c>
      <c r="Q16" s="155">
        <f t="shared" si="6"/>
        <v>0</v>
      </c>
    </row>
    <row r="17" spans="1:17">
      <c r="A17" s="64">
        <v>2003</v>
      </c>
      <c r="B17" s="65" t="s">
        <v>13</v>
      </c>
      <c r="C17" s="20">
        <f>VLOOKUP(A17,'Contribution Allocation_Report'!$A$9:$D$310,4,FALSE)</f>
        <v>0.1131696</v>
      </c>
      <c r="D17" s="11"/>
      <c r="E17" s="277">
        <f>VLOOKUP(A17,Contributions_20!$A$9:$D$308,4,FALSE)</f>
        <v>0.1155674</v>
      </c>
      <c r="F17" s="132"/>
      <c r="G17" s="148">
        <f t="shared" si="1"/>
        <v>-11612952</v>
      </c>
      <c r="H17" s="276">
        <f t="shared" si="2"/>
        <v>-1941965</v>
      </c>
      <c r="I17" s="129">
        <f t="shared" si="7"/>
        <v>-9670987</v>
      </c>
      <c r="J17" s="129"/>
      <c r="K17" s="126"/>
      <c r="L17" s="280">
        <f t="shared" si="3"/>
        <v>-1941965</v>
      </c>
      <c r="M17" s="280">
        <f t="shared" si="3"/>
        <v>-1941965</v>
      </c>
      <c r="N17" s="280">
        <f t="shared" si="3"/>
        <v>-1941965</v>
      </c>
      <c r="O17" s="280">
        <f t="shared" si="4"/>
        <v>-1941965</v>
      </c>
      <c r="P17" s="155">
        <f t="shared" si="5"/>
        <v>-1903127</v>
      </c>
      <c r="Q17" s="155">
        <f t="shared" si="6"/>
        <v>0</v>
      </c>
    </row>
    <row r="18" spans="1:17">
      <c r="A18" s="62">
        <v>2412</v>
      </c>
      <c r="B18" s="66" t="s">
        <v>14</v>
      </c>
      <c r="C18" s="21">
        <f>VLOOKUP(A18,'Contribution Allocation_Report'!$A$9:$D$310,4,FALSE)</f>
        <v>8.9470000000000001E-4</v>
      </c>
      <c r="D18" s="11"/>
      <c r="E18" s="277">
        <f>VLOOKUP(A18,Contributions_20!$A$9:$D$308,4,FALSE)</f>
        <v>6.2370000000000004E-4</v>
      </c>
      <c r="F18" s="132"/>
      <c r="G18" s="148">
        <f t="shared" si="1"/>
        <v>1312499</v>
      </c>
      <c r="H18" s="276">
        <f t="shared" si="2"/>
        <v>219481</v>
      </c>
      <c r="I18" s="129">
        <f t="shared" si="7"/>
        <v>1093018</v>
      </c>
      <c r="J18" s="129"/>
      <c r="K18" s="126"/>
      <c r="L18" s="280">
        <f t="shared" si="3"/>
        <v>219482</v>
      </c>
      <c r="M18" s="280">
        <f t="shared" si="3"/>
        <v>219482</v>
      </c>
      <c r="N18" s="280">
        <f t="shared" si="3"/>
        <v>219482</v>
      </c>
      <c r="O18" s="280">
        <f t="shared" si="4"/>
        <v>219482</v>
      </c>
      <c r="P18" s="155">
        <f t="shared" si="5"/>
        <v>215090</v>
      </c>
      <c r="Q18" s="155">
        <f t="shared" si="6"/>
        <v>0</v>
      </c>
    </row>
    <row r="19" spans="1:17">
      <c r="A19" s="64">
        <v>2402</v>
      </c>
      <c r="B19" s="65" t="s">
        <v>15</v>
      </c>
      <c r="C19" s="20">
        <f>VLOOKUP(A19,'Contribution Allocation_Report'!$A$9:$D$310,4,FALSE)</f>
        <v>3.2009999999999997E-4</v>
      </c>
      <c r="D19" s="11"/>
      <c r="E19" s="277">
        <f>VLOOKUP(A19,Contributions_20!$A$9:$D$308,4,FALSE)</f>
        <v>2.8459999999999998E-4</v>
      </c>
      <c r="F19" s="132"/>
      <c r="G19" s="148">
        <f t="shared" si="1"/>
        <v>171933</v>
      </c>
      <c r="H19" s="276">
        <f t="shared" si="2"/>
        <v>28751</v>
      </c>
      <c r="I19" s="129">
        <f t="shared" si="7"/>
        <v>143182</v>
      </c>
      <c r="J19" s="129"/>
      <c r="K19" s="126"/>
      <c r="L19" s="280">
        <f t="shared" si="3"/>
        <v>28751</v>
      </c>
      <c r="M19" s="280">
        <f t="shared" si="3"/>
        <v>28751</v>
      </c>
      <c r="N19" s="280">
        <f t="shared" si="3"/>
        <v>28751</v>
      </c>
      <c r="O19" s="280">
        <f t="shared" si="4"/>
        <v>28751</v>
      </c>
      <c r="P19" s="155">
        <f t="shared" si="5"/>
        <v>28178</v>
      </c>
      <c r="Q19" s="155">
        <f t="shared" si="6"/>
        <v>0</v>
      </c>
    </row>
    <row r="20" spans="1:17">
      <c r="A20" s="62">
        <v>2361</v>
      </c>
      <c r="B20" s="66" t="s">
        <v>16</v>
      </c>
      <c r="C20" s="21">
        <f>VLOOKUP(A20,'Contribution Allocation_Report'!$A$9:$D$310,4,FALSE)</f>
        <v>2.0579999999999999E-4</v>
      </c>
      <c r="D20" s="11"/>
      <c r="E20" s="277">
        <f>VLOOKUP(A20,Contributions_20!$A$9:$D$308,4,FALSE)</f>
        <v>2.22E-4</v>
      </c>
      <c r="F20" s="132"/>
      <c r="G20" s="148">
        <f t="shared" si="1"/>
        <v>-78459</v>
      </c>
      <c r="H20" s="276">
        <f t="shared" si="2"/>
        <v>-13120</v>
      </c>
      <c r="I20" s="129">
        <f t="shared" si="7"/>
        <v>-65339</v>
      </c>
      <c r="J20" s="129"/>
      <c r="K20" s="126"/>
      <c r="L20" s="280">
        <f t="shared" si="3"/>
        <v>-13120</v>
      </c>
      <c r="M20" s="280">
        <f t="shared" si="3"/>
        <v>-13120</v>
      </c>
      <c r="N20" s="280">
        <f t="shared" si="3"/>
        <v>-13120</v>
      </c>
      <c r="O20" s="280">
        <f t="shared" si="4"/>
        <v>-13120</v>
      </c>
      <c r="P20" s="155">
        <f t="shared" si="5"/>
        <v>-12859</v>
      </c>
      <c r="Q20" s="155">
        <f t="shared" si="6"/>
        <v>0</v>
      </c>
    </row>
    <row r="21" spans="1:17">
      <c r="A21" s="64">
        <v>8347</v>
      </c>
      <c r="B21" s="65" t="s">
        <v>17</v>
      </c>
      <c r="C21" s="20">
        <f>VLOOKUP(A21,'Contribution Allocation_Report'!$A$9:$D$310,4,FALSE)</f>
        <v>2.9960000000000002E-4</v>
      </c>
      <c r="D21" s="11"/>
      <c r="E21" s="277">
        <f>VLOOKUP(A21,Contributions_20!$A$9:$D$308,4,FALSE)</f>
        <v>2.831E-4</v>
      </c>
      <c r="F21" s="132"/>
      <c r="G21" s="148">
        <f t="shared" si="1"/>
        <v>79912</v>
      </c>
      <c r="H21" s="276">
        <f t="shared" si="2"/>
        <v>13363</v>
      </c>
      <c r="I21" s="129">
        <f t="shared" si="7"/>
        <v>66549</v>
      </c>
      <c r="J21" s="129"/>
      <c r="K21" s="126"/>
      <c r="L21" s="280">
        <f t="shared" si="3"/>
        <v>13363</v>
      </c>
      <c r="M21" s="280">
        <f t="shared" si="3"/>
        <v>13363</v>
      </c>
      <c r="N21" s="280">
        <f t="shared" si="3"/>
        <v>13363</v>
      </c>
      <c r="O21" s="280">
        <f t="shared" si="4"/>
        <v>13363</v>
      </c>
      <c r="P21" s="155">
        <f t="shared" si="5"/>
        <v>13097</v>
      </c>
      <c r="Q21" s="155">
        <f t="shared" si="6"/>
        <v>0</v>
      </c>
    </row>
    <row r="22" spans="1:17">
      <c r="A22" s="62">
        <v>2356</v>
      </c>
      <c r="B22" s="66" t="s">
        <v>18</v>
      </c>
      <c r="C22" s="21">
        <f>VLOOKUP(A22,'Contribution Allocation_Report'!$A$9:$D$310,4,FALSE)</f>
        <v>5.6999999999999998E-4</v>
      </c>
      <c r="D22" s="11"/>
      <c r="E22" s="277">
        <f>VLOOKUP(A22,Contributions_20!$A$9:$D$308,4,FALSE)</f>
        <v>5.6840000000000005E-4</v>
      </c>
      <c r="F22" s="132"/>
      <c r="G22" s="148">
        <f t="shared" si="1"/>
        <v>7749</v>
      </c>
      <c r="H22" s="276">
        <f t="shared" si="2"/>
        <v>1296</v>
      </c>
      <c r="I22" s="129">
        <f t="shared" si="7"/>
        <v>6453</v>
      </c>
      <c r="J22" s="129"/>
      <c r="K22" s="126"/>
      <c r="L22" s="280">
        <f t="shared" si="3"/>
        <v>1296</v>
      </c>
      <c r="M22" s="280">
        <f t="shared" si="3"/>
        <v>1296</v>
      </c>
      <c r="N22" s="280">
        <f t="shared" si="3"/>
        <v>1296</v>
      </c>
      <c r="O22" s="280">
        <f t="shared" si="4"/>
        <v>1296</v>
      </c>
      <c r="P22" s="155">
        <f t="shared" si="5"/>
        <v>1269</v>
      </c>
      <c r="Q22" s="155">
        <f t="shared" si="6"/>
        <v>0</v>
      </c>
    </row>
    <row r="23" spans="1:17">
      <c r="A23" s="64">
        <v>7335</v>
      </c>
      <c r="B23" s="65" t="s">
        <v>19</v>
      </c>
      <c r="C23" s="20">
        <f>VLOOKUP(A23,'Contribution Allocation_Report'!$A$9:$D$310,4,FALSE)</f>
        <v>2.152E-4</v>
      </c>
      <c r="D23" s="11"/>
      <c r="E23" s="277">
        <f>VLOOKUP(A23,Contributions_20!$A$9:$D$308,4,FALSE)</f>
        <v>2.2829999999999999E-4</v>
      </c>
      <c r="F23" s="132"/>
      <c r="G23" s="148">
        <f t="shared" si="1"/>
        <v>-63446</v>
      </c>
      <c r="H23" s="276">
        <f t="shared" si="2"/>
        <v>-10610</v>
      </c>
      <c r="I23" s="129">
        <f t="shared" si="7"/>
        <v>-52836</v>
      </c>
      <c r="J23" s="129"/>
      <c r="K23" s="126"/>
      <c r="L23" s="280">
        <f t="shared" si="3"/>
        <v>-10610</v>
      </c>
      <c r="M23" s="280">
        <f t="shared" si="3"/>
        <v>-10610</v>
      </c>
      <c r="N23" s="280">
        <f t="shared" si="3"/>
        <v>-10610</v>
      </c>
      <c r="O23" s="280">
        <f t="shared" si="4"/>
        <v>-10610</v>
      </c>
      <c r="P23" s="155">
        <f t="shared" si="5"/>
        <v>-10396</v>
      </c>
      <c r="Q23" s="155">
        <f t="shared" si="6"/>
        <v>0</v>
      </c>
    </row>
    <row r="24" spans="1:17">
      <c r="A24" s="62">
        <v>575</v>
      </c>
      <c r="B24" s="66" t="s">
        <v>411</v>
      </c>
      <c r="C24" s="21">
        <f>VLOOKUP(A24,'Contribution Allocation_Report'!$A$9:$D$310,4,FALSE)</f>
        <v>1.76E-4</v>
      </c>
      <c r="D24" s="11"/>
      <c r="E24" s="277">
        <f>VLOOKUP(A24,Contributions_20!$A$9:$D$308,4,FALSE)</f>
        <v>1.184E-4</v>
      </c>
      <c r="F24" s="132"/>
      <c r="G24" s="148">
        <f t="shared" si="1"/>
        <v>278967</v>
      </c>
      <c r="H24" s="276">
        <f t="shared" si="2"/>
        <v>46650</v>
      </c>
      <c r="I24" s="129">
        <f t="shared" si="7"/>
        <v>232317</v>
      </c>
      <c r="J24" s="129"/>
      <c r="K24" s="126"/>
      <c r="L24" s="280">
        <f t="shared" si="3"/>
        <v>46650</v>
      </c>
      <c r="M24" s="280">
        <f t="shared" si="3"/>
        <v>46650</v>
      </c>
      <c r="N24" s="280">
        <f t="shared" si="3"/>
        <v>46650</v>
      </c>
      <c r="O24" s="280">
        <f t="shared" si="4"/>
        <v>46650</v>
      </c>
      <c r="P24" s="155">
        <f t="shared" si="5"/>
        <v>45717</v>
      </c>
      <c r="Q24" s="155">
        <f t="shared" si="6"/>
        <v>0</v>
      </c>
    </row>
    <row r="25" spans="1:17">
      <c r="A25" s="64">
        <v>2303</v>
      </c>
      <c r="B25" s="65" t="s">
        <v>20</v>
      </c>
      <c r="C25" s="20">
        <f>VLOOKUP(A25,'Contribution Allocation_Report'!$A$9:$D$310,4,FALSE)</f>
        <v>4.4289999999999998E-4</v>
      </c>
      <c r="D25" s="11"/>
      <c r="E25" s="277">
        <f>VLOOKUP(A25,Contributions_20!$A$9:$D$308,4,FALSE)</f>
        <v>4.6010000000000002E-4</v>
      </c>
      <c r="F25" s="132"/>
      <c r="G25" s="148">
        <f t="shared" si="1"/>
        <v>-83303</v>
      </c>
      <c r="H25" s="276">
        <f t="shared" si="2"/>
        <v>-13930</v>
      </c>
      <c r="I25" s="129">
        <f t="shared" si="7"/>
        <v>-69373</v>
      </c>
      <c r="J25" s="129"/>
      <c r="K25" s="126"/>
      <c r="L25" s="280">
        <f t="shared" si="3"/>
        <v>-13930</v>
      </c>
      <c r="M25" s="280">
        <f t="shared" si="3"/>
        <v>-13930</v>
      </c>
      <c r="N25" s="280">
        <f t="shared" si="3"/>
        <v>-13930</v>
      </c>
      <c r="O25" s="280">
        <f t="shared" si="4"/>
        <v>-13930</v>
      </c>
      <c r="P25" s="155">
        <f t="shared" si="5"/>
        <v>-13653</v>
      </c>
      <c r="Q25" s="155">
        <f t="shared" si="6"/>
        <v>0</v>
      </c>
    </row>
    <row r="26" spans="1:17">
      <c r="A26" s="62">
        <v>20316</v>
      </c>
      <c r="B26" s="66" t="s">
        <v>21</v>
      </c>
      <c r="C26" s="21">
        <f>VLOOKUP(A26,'Contribution Allocation_Report'!$A$9:$D$310,4,FALSE)</f>
        <v>2.299E-4</v>
      </c>
      <c r="D26" s="11"/>
      <c r="E26" s="277">
        <f>VLOOKUP(A26,Contributions_20!$A$9:$D$308,4,FALSE)</f>
        <v>2.1269999999999999E-4</v>
      </c>
      <c r="F26" s="132"/>
      <c r="G26" s="148">
        <f t="shared" si="1"/>
        <v>83303</v>
      </c>
      <c r="H26" s="276">
        <f t="shared" si="2"/>
        <v>13930</v>
      </c>
      <c r="I26" s="129">
        <f t="shared" si="7"/>
        <v>69373</v>
      </c>
      <c r="J26" s="129"/>
      <c r="K26" s="126"/>
      <c r="L26" s="280">
        <f t="shared" si="3"/>
        <v>13930</v>
      </c>
      <c r="M26" s="280">
        <f t="shared" si="3"/>
        <v>13930</v>
      </c>
      <c r="N26" s="280">
        <f t="shared" si="3"/>
        <v>13930</v>
      </c>
      <c r="O26" s="280">
        <f t="shared" si="4"/>
        <v>13930</v>
      </c>
      <c r="P26" s="155">
        <f t="shared" si="5"/>
        <v>13653</v>
      </c>
      <c r="Q26" s="155">
        <f t="shared" si="6"/>
        <v>0</v>
      </c>
    </row>
    <row r="27" spans="1:17">
      <c r="A27" s="64">
        <v>23121</v>
      </c>
      <c r="B27" s="65" t="s">
        <v>22</v>
      </c>
      <c r="C27" s="20">
        <f>VLOOKUP(A27,'Contribution Allocation_Report'!$A$9:$D$310,4,FALSE)</f>
        <v>2.8019999999999998E-4</v>
      </c>
      <c r="D27" s="11"/>
      <c r="E27" s="277">
        <f>VLOOKUP(A27,Contributions_20!$A$9:$D$308,4,FALSE)</f>
        <v>3.035E-4</v>
      </c>
      <c r="F27" s="132"/>
      <c r="G27" s="148">
        <f t="shared" si="1"/>
        <v>-112846</v>
      </c>
      <c r="H27" s="276">
        <f t="shared" si="2"/>
        <v>-18871</v>
      </c>
      <c r="I27" s="129">
        <f t="shared" si="7"/>
        <v>-93975</v>
      </c>
      <c r="J27" s="129"/>
      <c r="K27" s="126"/>
      <c r="L27" s="280">
        <f t="shared" si="3"/>
        <v>-18870</v>
      </c>
      <c r="M27" s="280">
        <f t="shared" si="3"/>
        <v>-18870</v>
      </c>
      <c r="N27" s="280">
        <f t="shared" si="3"/>
        <v>-18870</v>
      </c>
      <c r="O27" s="280">
        <f t="shared" si="4"/>
        <v>-18870</v>
      </c>
      <c r="P27" s="155">
        <f t="shared" si="5"/>
        <v>-18495</v>
      </c>
      <c r="Q27" s="155">
        <f t="shared" si="6"/>
        <v>0</v>
      </c>
    </row>
    <row r="28" spans="1:17">
      <c r="A28" s="62">
        <v>3004</v>
      </c>
      <c r="B28" s="66" t="s">
        <v>23</v>
      </c>
      <c r="C28" s="21">
        <f>VLOOKUP(A28,'Contribution Allocation_Report'!$A$9:$D$310,4,FALSE)</f>
        <v>4.9366999999999996E-3</v>
      </c>
      <c r="D28" s="11"/>
      <c r="E28" s="277">
        <f>VLOOKUP(A28,Contributions_20!$A$9:$D$308,4,FALSE)</f>
        <v>4.8263999999999998E-3</v>
      </c>
      <c r="F28" s="132"/>
      <c r="G28" s="148">
        <f t="shared" si="1"/>
        <v>534202</v>
      </c>
      <c r="H28" s="276">
        <f t="shared" si="2"/>
        <v>89331</v>
      </c>
      <c r="I28" s="129">
        <f t="shared" si="7"/>
        <v>444871</v>
      </c>
      <c r="J28" s="129"/>
      <c r="K28" s="126"/>
      <c r="L28" s="280">
        <f t="shared" si="3"/>
        <v>89332</v>
      </c>
      <c r="M28" s="280">
        <f t="shared" si="3"/>
        <v>89332</v>
      </c>
      <c r="N28" s="280">
        <f t="shared" si="3"/>
        <v>89332</v>
      </c>
      <c r="O28" s="280">
        <f t="shared" si="4"/>
        <v>89332</v>
      </c>
      <c r="P28" s="155">
        <f t="shared" si="5"/>
        <v>87543</v>
      </c>
      <c r="Q28" s="155">
        <f t="shared" si="6"/>
        <v>0</v>
      </c>
    </row>
    <row r="29" spans="1:17">
      <c r="A29" s="64">
        <v>16050</v>
      </c>
      <c r="B29" s="65" t="s">
        <v>24</v>
      </c>
      <c r="C29" s="20">
        <f>VLOOKUP(A29,'Contribution Allocation_Report'!$A$9:$D$310,4,FALSE)</f>
        <v>3.3693E-3</v>
      </c>
      <c r="D29" s="11"/>
      <c r="E29" s="277">
        <f>VLOOKUP(A29,Contributions_20!$A$9:$D$308,4,FALSE)</f>
        <v>3.2964000000000001E-3</v>
      </c>
      <c r="F29" s="132"/>
      <c r="G29" s="148">
        <f t="shared" si="1"/>
        <v>353067</v>
      </c>
      <c r="H29" s="276">
        <f t="shared" si="2"/>
        <v>59041</v>
      </c>
      <c r="I29" s="129">
        <f t="shared" si="7"/>
        <v>294026</v>
      </c>
      <c r="J29" s="129"/>
      <c r="K29" s="126"/>
      <c r="L29" s="280">
        <f t="shared" si="3"/>
        <v>59041</v>
      </c>
      <c r="M29" s="280">
        <f t="shared" si="3"/>
        <v>59041</v>
      </c>
      <c r="N29" s="280">
        <f t="shared" si="3"/>
        <v>59041</v>
      </c>
      <c r="O29" s="280">
        <f t="shared" si="4"/>
        <v>59041</v>
      </c>
      <c r="P29" s="155">
        <f t="shared" si="5"/>
        <v>57862</v>
      </c>
      <c r="Q29" s="155">
        <f t="shared" si="6"/>
        <v>0</v>
      </c>
    </row>
    <row r="30" spans="1:17">
      <c r="A30" s="62">
        <v>14043</v>
      </c>
      <c r="B30" s="66" t="s">
        <v>25</v>
      </c>
      <c r="C30" s="21">
        <f>VLOOKUP(A30,'Contribution Allocation_Report'!$A$9:$D$310,4,FALSE)</f>
        <v>4.6455000000000003E-3</v>
      </c>
      <c r="D30" s="11"/>
      <c r="E30" s="277">
        <f>VLOOKUP(A30,Contributions_20!$A$9:$D$308,4,FALSE)</f>
        <v>4.7651000000000004E-3</v>
      </c>
      <c r="F30" s="132"/>
      <c r="G30" s="148">
        <f t="shared" si="1"/>
        <v>-579243</v>
      </c>
      <c r="H30" s="276">
        <f t="shared" si="2"/>
        <v>-96863</v>
      </c>
      <c r="I30" s="129">
        <f t="shared" si="7"/>
        <v>-482380</v>
      </c>
      <c r="J30" s="129"/>
      <c r="K30" s="126"/>
      <c r="L30" s="280">
        <f t="shared" si="3"/>
        <v>-96863</v>
      </c>
      <c r="M30" s="280">
        <f t="shared" si="3"/>
        <v>-96863</v>
      </c>
      <c r="N30" s="280">
        <f t="shared" si="3"/>
        <v>-96863</v>
      </c>
      <c r="O30" s="280">
        <f t="shared" si="4"/>
        <v>-96863</v>
      </c>
      <c r="P30" s="155">
        <f t="shared" si="5"/>
        <v>-94928</v>
      </c>
      <c r="Q30" s="155">
        <f t="shared" si="6"/>
        <v>0</v>
      </c>
    </row>
    <row r="31" spans="1:17">
      <c r="A31" s="64">
        <v>3010</v>
      </c>
      <c r="B31" s="65" t="s">
        <v>26</v>
      </c>
      <c r="C31" s="20">
        <f>VLOOKUP(A31,'Contribution Allocation_Report'!$A$9:$D$310,4,FALSE)</f>
        <v>2.9118000000000002E-2</v>
      </c>
      <c r="D31" s="11"/>
      <c r="E31" s="277">
        <f>VLOOKUP(A31,Contributions_20!$A$9:$D$308,4,FALSE)</f>
        <v>2.8731900000000001E-2</v>
      </c>
      <c r="F31" s="132"/>
      <c r="G31" s="148">
        <f t="shared" si="1"/>
        <v>1869948</v>
      </c>
      <c r="H31" s="276">
        <f t="shared" si="2"/>
        <v>312700</v>
      </c>
      <c r="I31" s="129">
        <f t="shared" si="7"/>
        <v>1557248</v>
      </c>
      <c r="J31" s="129"/>
      <c r="K31" s="126"/>
      <c r="L31" s="280">
        <f t="shared" si="3"/>
        <v>312700</v>
      </c>
      <c r="M31" s="280">
        <f t="shared" si="3"/>
        <v>312700</v>
      </c>
      <c r="N31" s="280">
        <f t="shared" si="3"/>
        <v>312700</v>
      </c>
      <c r="O31" s="280">
        <f t="shared" si="4"/>
        <v>312700</v>
      </c>
      <c r="P31" s="155">
        <f t="shared" si="5"/>
        <v>306448</v>
      </c>
      <c r="Q31" s="155">
        <f t="shared" si="6"/>
        <v>0</v>
      </c>
    </row>
    <row r="32" spans="1:17">
      <c r="A32" s="62">
        <v>29086</v>
      </c>
      <c r="B32" s="66" t="s">
        <v>27</v>
      </c>
      <c r="C32" s="21">
        <f>VLOOKUP(A32,'Contribution Allocation_Report'!$A$9:$D$310,4,FALSE)</f>
        <v>4.3503999999999999E-3</v>
      </c>
      <c r="D32" s="11"/>
      <c r="E32" s="277">
        <f>VLOOKUP(A32,Contributions_20!$A$9:$D$308,4,FALSE)</f>
        <v>4.5472000000000004E-3</v>
      </c>
      <c r="F32" s="132"/>
      <c r="G32" s="148">
        <f t="shared" si="1"/>
        <v>-953136</v>
      </c>
      <c r="H32" s="276">
        <f t="shared" si="2"/>
        <v>-159387</v>
      </c>
      <c r="I32" s="129">
        <f t="shared" si="7"/>
        <v>-793749</v>
      </c>
      <c r="J32" s="129"/>
      <c r="K32" s="126"/>
      <c r="L32" s="280">
        <f t="shared" si="3"/>
        <v>-159387</v>
      </c>
      <c r="M32" s="280">
        <f t="shared" si="3"/>
        <v>-159387</v>
      </c>
      <c r="N32" s="280">
        <f t="shared" si="3"/>
        <v>-159387</v>
      </c>
      <c r="O32" s="280">
        <f t="shared" si="4"/>
        <v>-159387</v>
      </c>
      <c r="P32" s="155">
        <f t="shared" si="5"/>
        <v>-156201</v>
      </c>
      <c r="Q32" s="155">
        <f t="shared" si="6"/>
        <v>0</v>
      </c>
    </row>
    <row r="33" spans="1:17">
      <c r="A33" s="64">
        <v>16051</v>
      </c>
      <c r="B33" s="65" t="s">
        <v>28</v>
      </c>
      <c r="C33" s="20">
        <f>VLOOKUP(A33,'Contribution Allocation_Report'!$A$9:$D$310,4,FALSE)</f>
        <v>3.7877000000000002E-3</v>
      </c>
      <c r="D33" s="11"/>
      <c r="E33" s="277">
        <f>VLOOKUP(A33,Contributions_20!$A$9:$D$308,4,FALSE)</f>
        <v>3.7821E-3</v>
      </c>
      <c r="F33" s="132"/>
      <c r="G33" s="148">
        <f t="shared" si="1"/>
        <v>27122</v>
      </c>
      <c r="H33" s="276">
        <f t="shared" si="2"/>
        <v>4535</v>
      </c>
      <c r="I33" s="129">
        <f t="shared" si="7"/>
        <v>22587</v>
      </c>
      <c r="J33" s="129"/>
      <c r="K33" s="126"/>
      <c r="L33" s="280">
        <f t="shared" si="3"/>
        <v>4536</v>
      </c>
      <c r="M33" s="280">
        <f t="shared" si="3"/>
        <v>4536</v>
      </c>
      <c r="N33" s="280">
        <f t="shared" si="3"/>
        <v>4536</v>
      </c>
      <c r="O33" s="280">
        <f t="shared" si="4"/>
        <v>4536</v>
      </c>
      <c r="P33" s="155">
        <f t="shared" si="5"/>
        <v>4443</v>
      </c>
      <c r="Q33" s="155">
        <f t="shared" si="6"/>
        <v>0</v>
      </c>
    </row>
    <row r="34" spans="1:17">
      <c r="A34" s="62">
        <v>26077</v>
      </c>
      <c r="B34" s="66" t="s">
        <v>29</v>
      </c>
      <c r="C34" s="21">
        <f>VLOOKUP(A34,'Contribution Allocation_Report'!$A$9:$D$310,4,FALSE)</f>
        <v>7.0989999999999996E-4</v>
      </c>
      <c r="D34" s="11"/>
      <c r="E34" s="277">
        <f>VLOOKUP(A34,Contributions_20!$A$9:$D$308,4,FALSE)</f>
        <v>7.2579999999999997E-4</v>
      </c>
      <c r="F34" s="132"/>
      <c r="G34" s="148">
        <f t="shared" si="1"/>
        <v>-77006</v>
      </c>
      <c r="H34" s="276">
        <f t="shared" si="2"/>
        <v>-12877</v>
      </c>
      <c r="I34" s="129">
        <f t="shared" si="7"/>
        <v>-64129</v>
      </c>
      <c r="J34" s="129"/>
      <c r="K34" s="126"/>
      <c r="L34" s="280">
        <f t="shared" si="3"/>
        <v>-12877</v>
      </c>
      <c r="M34" s="280">
        <f t="shared" si="3"/>
        <v>-12877</v>
      </c>
      <c r="N34" s="280">
        <f t="shared" si="3"/>
        <v>-12877</v>
      </c>
      <c r="O34" s="280">
        <f t="shared" si="4"/>
        <v>-12877</v>
      </c>
      <c r="P34" s="155">
        <f t="shared" si="5"/>
        <v>-12621</v>
      </c>
      <c r="Q34" s="155">
        <f t="shared" si="6"/>
        <v>0</v>
      </c>
    </row>
    <row r="35" spans="1:17">
      <c r="A35" s="64">
        <v>3005</v>
      </c>
      <c r="B35" s="65" t="s">
        <v>30</v>
      </c>
      <c r="C35" s="20">
        <f>VLOOKUP(A35,'Contribution Allocation_Report'!$A$9:$D$310,4,FALSE)</f>
        <v>8.2824000000000005E-3</v>
      </c>
      <c r="D35" s="11"/>
      <c r="E35" s="277">
        <f>VLOOKUP(A35,Contributions_20!$A$9:$D$308,4,FALSE)</f>
        <v>8.4562999999999999E-3</v>
      </c>
      <c r="F35" s="132"/>
      <c r="G35" s="148">
        <f t="shared" si="1"/>
        <v>-842227</v>
      </c>
      <c r="H35" s="276">
        <f t="shared" si="2"/>
        <v>-140841</v>
      </c>
      <c r="I35" s="129">
        <f t="shared" si="7"/>
        <v>-701386</v>
      </c>
      <c r="J35" s="129"/>
      <c r="K35" s="126"/>
      <c r="L35" s="280">
        <f t="shared" si="3"/>
        <v>-140841</v>
      </c>
      <c r="M35" s="280">
        <f t="shared" si="3"/>
        <v>-140841</v>
      </c>
      <c r="N35" s="280">
        <f t="shared" si="3"/>
        <v>-140841</v>
      </c>
      <c r="O35" s="280">
        <f t="shared" si="4"/>
        <v>-140841</v>
      </c>
      <c r="P35" s="155">
        <f t="shared" si="5"/>
        <v>-138022</v>
      </c>
      <c r="Q35" s="155">
        <f t="shared" si="6"/>
        <v>0</v>
      </c>
    </row>
    <row r="36" spans="1:17">
      <c r="A36" s="62">
        <v>26078</v>
      </c>
      <c r="B36" s="66" t="s">
        <v>31</v>
      </c>
      <c r="C36" s="21">
        <f>VLOOKUP(A36,'Contribution Allocation_Report'!$A$9:$D$310,4,FALSE)</f>
        <v>3.0850000000000002E-4</v>
      </c>
      <c r="D36" s="11"/>
      <c r="E36" s="277">
        <f>VLOOKUP(A36,Contributions_20!$A$9:$D$308,4,FALSE)</f>
        <v>3.2150000000000001E-4</v>
      </c>
      <c r="F36" s="132"/>
      <c r="G36" s="148">
        <f t="shared" si="1"/>
        <v>-62961</v>
      </c>
      <c r="H36" s="276">
        <f t="shared" si="2"/>
        <v>-10529</v>
      </c>
      <c r="I36" s="129">
        <f t="shared" si="7"/>
        <v>-52432</v>
      </c>
      <c r="J36" s="129"/>
      <c r="K36" s="126"/>
      <c r="L36" s="280">
        <f t="shared" si="3"/>
        <v>-10529</v>
      </c>
      <c r="M36" s="280">
        <f t="shared" si="3"/>
        <v>-10529</v>
      </c>
      <c r="N36" s="280">
        <f t="shared" si="3"/>
        <v>-10529</v>
      </c>
      <c r="O36" s="280">
        <f t="shared" si="4"/>
        <v>-10529</v>
      </c>
      <c r="P36" s="155">
        <f t="shared" si="5"/>
        <v>-10316</v>
      </c>
      <c r="Q36" s="155">
        <f t="shared" si="6"/>
        <v>0</v>
      </c>
    </row>
    <row r="37" spans="1:17">
      <c r="A37" s="64">
        <v>16053</v>
      </c>
      <c r="B37" s="65" t="s">
        <v>32</v>
      </c>
      <c r="C37" s="20">
        <f>VLOOKUP(A37,'Contribution Allocation_Report'!$A$9:$D$310,4,FALSE)</f>
        <v>9.2488999999999991E-3</v>
      </c>
      <c r="D37" s="11"/>
      <c r="E37" s="277">
        <f>VLOOKUP(A37,Contributions_20!$A$9:$D$308,4,FALSE)</f>
        <v>8.8451999999999992E-3</v>
      </c>
      <c r="F37" s="132"/>
      <c r="G37" s="148">
        <f t="shared" si="1"/>
        <v>1955188</v>
      </c>
      <c r="H37" s="276">
        <f t="shared" si="2"/>
        <v>326955</v>
      </c>
      <c r="I37" s="129">
        <f t="shared" si="7"/>
        <v>1628233</v>
      </c>
      <c r="J37" s="129"/>
      <c r="K37" s="126"/>
      <c r="L37" s="280">
        <f t="shared" si="3"/>
        <v>326954</v>
      </c>
      <c r="M37" s="280">
        <f t="shared" si="3"/>
        <v>326954</v>
      </c>
      <c r="N37" s="280">
        <f t="shared" si="3"/>
        <v>326954</v>
      </c>
      <c r="O37" s="280">
        <f t="shared" si="4"/>
        <v>326954</v>
      </c>
      <c r="P37" s="155">
        <f t="shared" si="5"/>
        <v>320417</v>
      </c>
      <c r="Q37" s="155">
        <f t="shared" si="6"/>
        <v>0</v>
      </c>
    </row>
    <row r="38" spans="1:17">
      <c r="A38" s="62">
        <v>2123</v>
      </c>
      <c r="B38" s="66" t="s">
        <v>33</v>
      </c>
      <c r="C38" s="21">
        <f>VLOOKUP(A38,'Contribution Allocation_Report'!$A$9:$D$310,4,FALSE)</f>
        <v>1.6607299999999998E-2</v>
      </c>
      <c r="D38" s="11"/>
      <c r="E38" s="277">
        <f>VLOOKUP(A38,Contributions_20!$A$9:$D$308,4,FALSE)</f>
        <v>1.6918900000000001E-2</v>
      </c>
      <c r="F38" s="132"/>
      <c r="G38" s="148">
        <f t="shared" ref="G38:G69" si="12">ROUND((E38-C38)*$G$322,0)</f>
        <v>-1509132</v>
      </c>
      <c r="H38" s="276">
        <f t="shared" si="2"/>
        <v>-252363</v>
      </c>
      <c r="I38" s="129">
        <f t="shared" si="7"/>
        <v>-1256769</v>
      </c>
      <c r="J38" s="129"/>
      <c r="K38" s="126"/>
      <c r="L38" s="280">
        <f t="shared" si="3"/>
        <v>-252363</v>
      </c>
      <c r="M38" s="280">
        <f t="shared" si="3"/>
        <v>-252363</v>
      </c>
      <c r="N38" s="280">
        <f t="shared" si="3"/>
        <v>-252363</v>
      </c>
      <c r="O38" s="280">
        <f t="shared" si="4"/>
        <v>-252363</v>
      </c>
      <c r="P38" s="155">
        <f t="shared" si="5"/>
        <v>-247317</v>
      </c>
      <c r="Q38" s="155">
        <f t="shared" si="6"/>
        <v>0</v>
      </c>
    </row>
    <row r="39" spans="1:17">
      <c r="A39" s="64">
        <v>2150</v>
      </c>
      <c r="B39" s="65" t="s">
        <v>34</v>
      </c>
      <c r="C39" s="20">
        <f>VLOOKUP(A39,'Contribution Allocation_Report'!$A$9:$D$310,4,FALSE)</f>
        <v>8.0309999999999995E-4</v>
      </c>
      <c r="D39" s="11"/>
      <c r="E39" s="277">
        <f>VLOOKUP(A39,Contributions_20!$A$9:$D$308,4,FALSE)</f>
        <v>5.7569999999999995E-4</v>
      </c>
      <c r="F39" s="132"/>
      <c r="G39" s="148">
        <f t="shared" si="12"/>
        <v>1101337</v>
      </c>
      <c r="H39" s="276">
        <f t="shared" si="2"/>
        <v>184170</v>
      </c>
      <c r="I39" s="129">
        <f t="shared" si="7"/>
        <v>917167</v>
      </c>
      <c r="J39" s="129"/>
      <c r="K39" s="126"/>
      <c r="L39" s="280">
        <f t="shared" si="3"/>
        <v>184170</v>
      </c>
      <c r="M39" s="280">
        <f t="shared" si="3"/>
        <v>184170</v>
      </c>
      <c r="N39" s="280">
        <f t="shared" si="3"/>
        <v>184170</v>
      </c>
      <c r="O39" s="280">
        <f t="shared" si="4"/>
        <v>184170</v>
      </c>
      <c r="P39" s="155">
        <f t="shared" si="5"/>
        <v>180487</v>
      </c>
      <c r="Q39" s="155">
        <f t="shared" si="6"/>
        <v>0</v>
      </c>
    </row>
    <row r="40" spans="1:17">
      <c r="A40" s="62">
        <v>2336</v>
      </c>
      <c r="B40" s="66" t="s">
        <v>35</v>
      </c>
      <c r="C40" s="21">
        <f>VLOOKUP(A40,'Contribution Allocation_Report'!$A$9:$D$310,4,FALSE)</f>
        <v>2.366E-4</v>
      </c>
      <c r="D40" s="11"/>
      <c r="E40" s="277">
        <f>VLOOKUP(A40,Contributions_20!$A$9:$D$308,4,FALSE)</f>
        <v>2.5270000000000002E-4</v>
      </c>
      <c r="F40" s="132"/>
      <c r="G40" s="148">
        <f t="shared" si="12"/>
        <v>-77975</v>
      </c>
      <c r="H40" s="276">
        <f t="shared" si="2"/>
        <v>-13039</v>
      </c>
      <c r="I40" s="129">
        <f t="shared" si="7"/>
        <v>-64936</v>
      </c>
      <c r="J40" s="129"/>
      <c r="K40" s="126"/>
      <c r="L40" s="280">
        <f t="shared" si="3"/>
        <v>-13039</v>
      </c>
      <c r="M40" s="280">
        <f t="shared" si="3"/>
        <v>-13039</v>
      </c>
      <c r="N40" s="280">
        <f t="shared" si="3"/>
        <v>-13039</v>
      </c>
      <c r="O40" s="280">
        <f t="shared" si="4"/>
        <v>-13039</v>
      </c>
      <c r="P40" s="155">
        <f t="shared" si="5"/>
        <v>-12780</v>
      </c>
      <c r="Q40" s="155">
        <f t="shared" si="6"/>
        <v>0</v>
      </c>
    </row>
    <row r="41" spans="1:17">
      <c r="A41" s="64">
        <v>17126</v>
      </c>
      <c r="B41" s="65" t="s">
        <v>36</v>
      </c>
      <c r="C41" s="20">
        <f>VLOOKUP(A41,'Contribution Allocation_Report'!$A$9:$D$310,4,FALSE)</f>
        <v>6.7829999999999995E-4</v>
      </c>
      <c r="D41" s="11"/>
      <c r="E41" s="277">
        <f>VLOOKUP(A41,Contributions_20!$A$9:$D$308,4,FALSE)</f>
        <v>7.1290000000000004E-4</v>
      </c>
      <c r="F41" s="132"/>
      <c r="G41" s="148">
        <f t="shared" si="12"/>
        <v>-167574</v>
      </c>
      <c r="H41" s="276">
        <f t="shared" si="2"/>
        <v>-28022</v>
      </c>
      <c r="I41" s="129">
        <f t="shared" si="7"/>
        <v>-139552</v>
      </c>
      <c r="J41" s="129"/>
      <c r="K41" s="126"/>
      <c r="L41" s="280">
        <f t="shared" si="3"/>
        <v>-28022</v>
      </c>
      <c r="M41" s="280">
        <f t="shared" si="3"/>
        <v>-28022</v>
      </c>
      <c r="N41" s="280">
        <f t="shared" si="3"/>
        <v>-28022</v>
      </c>
      <c r="O41" s="280">
        <f t="shared" si="4"/>
        <v>-28022</v>
      </c>
      <c r="P41" s="155">
        <f t="shared" si="5"/>
        <v>-27464</v>
      </c>
      <c r="Q41" s="155">
        <f t="shared" si="6"/>
        <v>0</v>
      </c>
    </row>
    <row r="42" spans="1:17">
      <c r="A42" s="62">
        <v>3030</v>
      </c>
      <c r="B42" s="66" t="s">
        <v>37</v>
      </c>
      <c r="C42" s="21">
        <f>VLOOKUP(A42,'Contribution Allocation_Report'!$A$9:$D$310,4,FALSE)</f>
        <v>2.1254999999999998E-3</v>
      </c>
      <c r="D42" s="11"/>
      <c r="E42" s="277">
        <f>VLOOKUP(A42,Contributions_20!$A$9:$D$308,4,FALSE)</f>
        <v>2.2358E-3</v>
      </c>
      <c r="F42" s="132"/>
      <c r="G42" s="148">
        <f t="shared" si="12"/>
        <v>-534202</v>
      </c>
      <c r="H42" s="276">
        <f t="shared" si="2"/>
        <v>-89331</v>
      </c>
      <c r="I42" s="129">
        <f t="shared" si="7"/>
        <v>-444871</v>
      </c>
      <c r="J42" s="129"/>
      <c r="K42" s="126"/>
      <c r="L42" s="280">
        <f t="shared" si="3"/>
        <v>-89332</v>
      </c>
      <c r="M42" s="280">
        <f t="shared" si="3"/>
        <v>-89332</v>
      </c>
      <c r="N42" s="280">
        <f t="shared" si="3"/>
        <v>-89332</v>
      </c>
      <c r="O42" s="280">
        <f t="shared" si="4"/>
        <v>-89332</v>
      </c>
      <c r="P42" s="155">
        <f t="shared" si="5"/>
        <v>-87543</v>
      </c>
      <c r="Q42" s="155">
        <f t="shared" si="6"/>
        <v>0</v>
      </c>
    </row>
    <row r="43" spans="1:17">
      <c r="A43" s="64">
        <v>2353</v>
      </c>
      <c r="B43" s="65" t="s">
        <v>38</v>
      </c>
      <c r="C43" s="20">
        <f>VLOOKUP(A43,'Contribution Allocation_Report'!$A$9:$D$310,4,FALSE)</f>
        <v>4.214E-4</v>
      </c>
      <c r="D43" s="11"/>
      <c r="E43" s="277">
        <f>VLOOKUP(A43,Contributions_20!$A$9:$D$308,4,FALSE)</f>
        <v>5.1040000000000005E-4</v>
      </c>
      <c r="F43" s="132"/>
      <c r="G43" s="148">
        <f t="shared" si="12"/>
        <v>-431042</v>
      </c>
      <c r="H43" s="276">
        <f t="shared" si="2"/>
        <v>-72081</v>
      </c>
      <c r="I43" s="129">
        <f t="shared" si="7"/>
        <v>-358961</v>
      </c>
      <c r="J43" s="129"/>
      <c r="K43" s="126"/>
      <c r="L43" s="280">
        <f t="shared" si="3"/>
        <v>-72081</v>
      </c>
      <c r="M43" s="280">
        <f t="shared" si="3"/>
        <v>-72081</v>
      </c>
      <c r="N43" s="280">
        <f t="shared" si="3"/>
        <v>-72081</v>
      </c>
      <c r="O43" s="280">
        <f t="shared" si="4"/>
        <v>-72081</v>
      </c>
      <c r="P43" s="155">
        <f t="shared" si="5"/>
        <v>-70637</v>
      </c>
      <c r="Q43" s="155">
        <f t="shared" si="6"/>
        <v>0</v>
      </c>
    </row>
    <row r="44" spans="1:17">
      <c r="A44" s="62">
        <v>3040</v>
      </c>
      <c r="B44" s="66" t="s">
        <v>39</v>
      </c>
      <c r="C44" s="21">
        <f>VLOOKUP(A44,'Contribution Allocation_Report'!$A$9:$D$310,4,FALSE)</f>
        <v>7.4660000000000004E-4</v>
      </c>
      <c r="D44" s="11"/>
      <c r="E44" s="277">
        <f>VLOOKUP(A44,Contributions_20!$A$9:$D$308,4,FALSE)</f>
        <v>7.6639999999999998E-4</v>
      </c>
      <c r="F44" s="132"/>
      <c r="G44" s="148">
        <f t="shared" si="12"/>
        <v>-95895</v>
      </c>
      <c r="H44" s="276">
        <f t="shared" si="2"/>
        <v>-16036</v>
      </c>
      <c r="I44" s="129">
        <f t="shared" si="7"/>
        <v>-79859</v>
      </c>
      <c r="J44" s="129"/>
      <c r="K44" s="126"/>
      <c r="L44" s="280">
        <f t="shared" si="3"/>
        <v>-16036</v>
      </c>
      <c r="M44" s="280">
        <f t="shared" si="3"/>
        <v>-16036</v>
      </c>
      <c r="N44" s="280">
        <f t="shared" si="3"/>
        <v>-16036</v>
      </c>
      <c r="O44" s="280">
        <f t="shared" si="4"/>
        <v>-16036</v>
      </c>
      <c r="P44" s="155">
        <f t="shared" si="5"/>
        <v>-15715</v>
      </c>
      <c r="Q44" s="155">
        <f t="shared" si="6"/>
        <v>0</v>
      </c>
    </row>
    <row r="45" spans="1:17">
      <c r="A45" s="64">
        <v>2367</v>
      </c>
      <c r="B45" s="65" t="s">
        <v>40</v>
      </c>
      <c r="C45" s="20">
        <f>VLOOKUP(A45,'Contribution Allocation_Report'!$A$9:$D$310,4,FALSE)</f>
        <v>5.0679999999999996E-4</v>
      </c>
      <c r="D45" s="11"/>
      <c r="E45" s="277">
        <f>VLOOKUP(A45,Contributions_20!$A$9:$D$308,4,FALSE)</f>
        <v>4.6270000000000003E-4</v>
      </c>
      <c r="F45" s="132"/>
      <c r="G45" s="148">
        <f t="shared" si="12"/>
        <v>213584</v>
      </c>
      <c r="H45" s="276">
        <f t="shared" si="2"/>
        <v>35716</v>
      </c>
      <c r="I45" s="129">
        <f t="shared" si="7"/>
        <v>177868</v>
      </c>
      <c r="J45" s="129"/>
      <c r="K45" s="126"/>
      <c r="L45" s="280">
        <f t="shared" si="3"/>
        <v>35716</v>
      </c>
      <c r="M45" s="280">
        <f t="shared" si="3"/>
        <v>35716</v>
      </c>
      <c r="N45" s="280">
        <f t="shared" si="3"/>
        <v>35716</v>
      </c>
      <c r="O45" s="280">
        <f t="shared" si="4"/>
        <v>35716</v>
      </c>
      <c r="P45" s="155">
        <f t="shared" si="5"/>
        <v>35004</v>
      </c>
      <c r="Q45" s="155">
        <f t="shared" si="6"/>
        <v>0</v>
      </c>
    </row>
    <row r="46" spans="1:17">
      <c r="A46" s="62">
        <v>9027</v>
      </c>
      <c r="B46" s="66" t="s">
        <v>41</v>
      </c>
      <c r="C46" s="21">
        <f>VLOOKUP(A46,'Contribution Allocation_Report'!$A$9:$D$310,4,FALSE)</f>
        <v>7.4260000000000005E-4</v>
      </c>
      <c r="D46" s="11"/>
      <c r="E46" s="277">
        <f>VLOOKUP(A46,Contributions_20!$A$9:$D$308,4,FALSE)</f>
        <v>6.3210000000000002E-4</v>
      </c>
      <c r="F46" s="132"/>
      <c r="G46" s="148">
        <f t="shared" si="12"/>
        <v>535170</v>
      </c>
      <c r="H46" s="276">
        <f t="shared" si="2"/>
        <v>89493</v>
      </c>
      <c r="I46" s="129">
        <f t="shared" si="7"/>
        <v>445677</v>
      </c>
      <c r="J46" s="129"/>
      <c r="K46" s="126"/>
      <c r="L46" s="280">
        <f t="shared" si="3"/>
        <v>89493</v>
      </c>
      <c r="M46" s="280">
        <f t="shared" si="3"/>
        <v>89493</v>
      </c>
      <c r="N46" s="280">
        <f t="shared" si="3"/>
        <v>89493</v>
      </c>
      <c r="O46" s="280">
        <f t="shared" si="4"/>
        <v>89493</v>
      </c>
      <c r="P46" s="155">
        <f t="shared" si="5"/>
        <v>87705</v>
      </c>
      <c r="Q46" s="155">
        <f t="shared" si="6"/>
        <v>0</v>
      </c>
    </row>
    <row r="47" spans="1:17">
      <c r="A47" s="64">
        <v>2010</v>
      </c>
      <c r="B47" s="65" t="s">
        <v>42</v>
      </c>
      <c r="C47" s="20">
        <f>VLOOKUP(A47,'Contribution Allocation_Report'!$A$9:$D$310,4,FALSE)</f>
        <v>2.6776E-3</v>
      </c>
      <c r="D47" s="11"/>
      <c r="E47" s="277">
        <f>VLOOKUP(A47,Contributions_20!$A$9:$D$308,4,FALSE)</f>
        <v>2.6113999999999998E-3</v>
      </c>
      <c r="F47" s="132"/>
      <c r="G47" s="148">
        <f t="shared" si="12"/>
        <v>320618</v>
      </c>
      <c r="H47" s="276">
        <f t="shared" si="2"/>
        <v>53615</v>
      </c>
      <c r="I47" s="129">
        <f t="shared" si="7"/>
        <v>267003</v>
      </c>
      <c r="J47" s="129"/>
      <c r="K47" s="126"/>
      <c r="L47" s="280">
        <f t="shared" si="3"/>
        <v>53615</v>
      </c>
      <c r="M47" s="280">
        <f t="shared" si="3"/>
        <v>53615</v>
      </c>
      <c r="N47" s="280">
        <f t="shared" si="3"/>
        <v>53615</v>
      </c>
      <c r="O47" s="280">
        <f t="shared" si="4"/>
        <v>53615</v>
      </c>
      <c r="P47" s="155">
        <f t="shared" si="5"/>
        <v>52543</v>
      </c>
      <c r="Q47" s="155">
        <f t="shared" si="6"/>
        <v>0</v>
      </c>
    </row>
    <row r="48" spans="1:17">
      <c r="A48" s="62">
        <v>2020</v>
      </c>
      <c r="B48" s="66" t="s">
        <v>43</v>
      </c>
      <c r="C48" s="21">
        <f>VLOOKUP(A48,'Contribution Allocation_Report'!$A$9:$D$310,4,FALSE)</f>
        <v>6.9247400000000001E-2</v>
      </c>
      <c r="D48" s="11"/>
      <c r="E48" s="277">
        <f>VLOOKUP(A48,Contributions_20!$A$9:$D$308,4,FALSE)</f>
        <v>6.8668499999999993E-2</v>
      </c>
      <c r="F48" s="132"/>
      <c r="G48" s="148">
        <f t="shared" si="12"/>
        <v>2803711</v>
      </c>
      <c r="H48" s="276">
        <f t="shared" si="2"/>
        <v>468848</v>
      </c>
      <c r="I48" s="129">
        <f t="shared" si="7"/>
        <v>2334863</v>
      </c>
      <c r="J48" s="129"/>
      <c r="K48" s="126"/>
      <c r="L48" s="280">
        <f t="shared" si="3"/>
        <v>468848</v>
      </c>
      <c r="M48" s="280">
        <f t="shared" si="3"/>
        <v>468848</v>
      </c>
      <c r="N48" s="280">
        <f t="shared" si="3"/>
        <v>468848</v>
      </c>
      <c r="O48" s="280">
        <f t="shared" si="4"/>
        <v>468848</v>
      </c>
      <c r="P48" s="155">
        <f t="shared" si="5"/>
        <v>459471</v>
      </c>
      <c r="Q48" s="155">
        <f t="shared" si="6"/>
        <v>0</v>
      </c>
    </row>
    <row r="49" spans="1:17">
      <c r="A49" s="64">
        <v>2040</v>
      </c>
      <c r="B49" s="65" t="s">
        <v>44</v>
      </c>
      <c r="C49" s="20">
        <f>VLOOKUP(A49,'Contribution Allocation_Report'!$A$9:$D$310,4,FALSE)</f>
        <v>8.8509999999999999E-4</v>
      </c>
      <c r="D49" s="11"/>
      <c r="E49" s="277">
        <f>VLOOKUP(A49,Contributions_20!$A$9:$D$308,4,FALSE)</f>
        <v>8.9280000000000002E-4</v>
      </c>
      <c r="F49" s="132"/>
      <c r="G49" s="148">
        <f t="shared" si="12"/>
        <v>-37292</v>
      </c>
      <c r="H49" s="276">
        <f t="shared" si="2"/>
        <v>-6236</v>
      </c>
      <c r="I49" s="129">
        <f t="shared" si="7"/>
        <v>-31056</v>
      </c>
      <c r="J49" s="129"/>
      <c r="K49" s="126"/>
      <c r="L49" s="280">
        <f t="shared" si="3"/>
        <v>-6236</v>
      </c>
      <c r="M49" s="280">
        <f t="shared" si="3"/>
        <v>-6236</v>
      </c>
      <c r="N49" s="280">
        <f t="shared" si="3"/>
        <v>-6236</v>
      </c>
      <c r="O49" s="280">
        <f t="shared" si="4"/>
        <v>-6236</v>
      </c>
      <c r="P49" s="155">
        <f t="shared" si="5"/>
        <v>-6112</v>
      </c>
      <c r="Q49" s="155">
        <f t="shared" si="6"/>
        <v>0</v>
      </c>
    </row>
    <row r="50" spans="1:17">
      <c r="A50" s="62">
        <v>2060</v>
      </c>
      <c r="B50" s="66" t="s">
        <v>45</v>
      </c>
      <c r="C50" s="21">
        <f>VLOOKUP(A50,'Contribution Allocation_Report'!$A$9:$D$310,4,FALSE)</f>
        <v>9.3939999999999996E-4</v>
      </c>
      <c r="D50" s="11"/>
      <c r="E50" s="277">
        <f>VLOOKUP(A50,Contributions_20!$A$9:$D$308,4,FALSE)</f>
        <v>7.6420000000000004E-4</v>
      </c>
      <c r="F50" s="132"/>
      <c r="G50" s="148">
        <f t="shared" si="12"/>
        <v>848523</v>
      </c>
      <c r="H50" s="276">
        <f t="shared" si="2"/>
        <v>141893</v>
      </c>
      <c r="I50" s="129">
        <f t="shared" si="7"/>
        <v>706630</v>
      </c>
      <c r="J50" s="129"/>
      <c r="K50" s="126"/>
      <c r="L50" s="280">
        <f t="shared" si="3"/>
        <v>141894</v>
      </c>
      <c r="M50" s="280">
        <f t="shared" si="3"/>
        <v>141894</v>
      </c>
      <c r="N50" s="280">
        <f t="shared" si="3"/>
        <v>141894</v>
      </c>
      <c r="O50" s="280">
        <f t="shared" si="4"/>
        <v>141894</v>
      </c>
      <c r="P50" s="155">
        <f t="shared" si="5"/>
        <v>139054</v>
      </c>
      <c r="Q50" s="155">
        <f t="shared" si="6"/>
        <v>0</v>
      </c>
    </row>
    <row r="51" spans="1:17">
      <c r="A51" s="64">
        <v>2090</v>
      </c>
      <c r="B51" s="65" t="s">
        <v>46</v>
      </c>
      <c r="C51" s="20">
        <f>VLOOKUP(A51,'Contribution Allocation_Report'!$A$9:$D$310,4,FALSE)</f>
        <v>7.2550000000000002E-4</v>
      </c>
      <c r="D51" s="11"/>
      <c r="E51" s="277">
        <f>VLOOKUP(A51,Contributions_20!$A$9:$D$308,4,FALSE)</f>
        <v>7.7399999999999995E-4</v>
      </c>
      <c r="F51" s="132"/>
      <c r="G51" s="148">
        <f t="shared" si="12"/>
        <v>-234894</v>
      </c>
      <c r="H51" s="276">
        <f t="shared" si="2"/>
        <v>-39280</v>
      </c>
      <c r="I51" s="129">
        <f t="shared" si="7"/>
        <v>-195614</v>
      </c>
      <c r="J51" s="129"/>
      <c r="K51" s="126"/>
      <c r="L51" s="280">
        <f t="shared" si="3"/>
        <v>-39280</v>
      </c>
      <c r="M51" s="280">
        <f t="shared" si="3"/>
        <v>-39280</v>
      </c>
      <c r="N51" s="280">
        <f t="shared" si="3"/>
        <v>-39280</v>
      </c>
      <c r="O51" s="280">
        <f t="shared" si="4"/>
        <v>-39280</v>
      </c>
      <c r="P51" s="155">
        <f t="shared" si="5"/>
        <v>-38494</v>
      </c>
      <c r="Q51" s="155">
        <f t="shared" si="6"/>
        <v>0</v>
      </c>
    </row>
    <row r="52" spans="1:17">
      <c r="A52" s="62">
        <v>2110</v>
      </c>
      <c r="B52" s="66" t="s">
        <v>47</v>
      </c>
      <c r="C52" s="21">
        <f>VLOOKUP(A52,'Contribution Allocation_Report'!$A$9:$D$310,4,FALSE)</f>
        <v>6.1808999999999996E-3</v>
      </c>
      <c r="D52" s="11"/>
      <c r="E52" s="277">
        <f>VLOOKUP(A52,Contributions_20!$A$9:$D$308,4,FALSE)</f>
        <v>6.2937999999999996E-3</v>
      </c>
      <c r="F52" s="132"/>
      <c r="G52" s="148">
        <f t="shared" si="12"/>
        <v>-546794</v>
      </c>
      <c r="H52" s="276">
        <f t="shared" si="2"/>
        <v>-91437</v>
      </c>
      <c r="I52" s="129">
        <f t="shared" si="7"/>
        <v>-455357</v>
      </c>
      <c r="J52" s="129"/>
      <c r="K52" s="126"/>
      <c r="L52" s="280">
        <f t="shared" si="3"/>
        <v>-91437</v>
      </c>
      <c r="M52" s="280">
        <f t="shared" si="3"/>
        <v>-91437</v>
      </c>
      <c r="N52" s="280">
        <f t="shared" si="3"/>
        <v>-91437</v>
      </c>
      <c r="O52" s="280">
        <f t="shared" si="4"/>
        <v>-91437</v>
      </c>
      <c r="P52" s="155">
        <f t="shared" si="5"/>
        <v>-89609</v>
      </c>
      <c r="Q52" s="155">
        <f t="shared" si="6"/>
        <v>0</v>
      </c>
    </row>
    <row r="53" spans="1:17">
      <c r="A53" s="64">
        <v>2180</v>
      </c>
      <c r="B53" s="65" t="s">
        <v>48</v>
      </c>
      <c r="C53" s="20">
        <f>VLOOKUP(A53,'Contribution Allocation_Report'!$A$9:$D$310,4,FALSE)</f>
        <v>2.8750999999999998E-3</v>
      </c>
      <c r="D53" s="11"/>
      <c r="E53" s="277">
        <f>VLOOKUP(A53,Contributions_20!$A$9:$D$308,4,FALSE)</f>
        <v>2.8357999999999999E-3</v>
      </c>
      <c r="F53" s="132"/>
      <c r="G53" s="148">
        <f t="shared" si="12"/>
        <v>190337</v>
      </c>
      <c r="H53" s="276">
        <f t="shared" si="2"/>
        <v>31829</v>
      </c>
      <c r="I53" s="129">
        <f t="shared" si="7"/>
        <v>158508</v>
      </c>
      <c r="J53" s="129"/>
      <c r="K53" s="126"/>
      <c r="L53" s="280">
        <f t="shared" si="3"/>
        <v>31829</v>
      </c>
      <c r="M53" s="280">
        <f t="shared" si="3"/>
        <v>31829</v>
      </c>
      <c r="N53" s="280">
        <f t="shared" si="3"/>
        <v>31829</v>
      </c>
      <c r="O53" s="280">
        <f t="shared" si="4"/>
        <v>31829</v>
      </c>
      <c r="P53" s="155">
        <f t="shared" si="5"/>
        <v>31192</v>
      </c>
      <c r="Q53" s="155">
        <f t="shared" si="6"/>
        <v>0</v>
      </c>
    </row>
    <row r="54" spans="1:17">
      <c r="A54" s="62">
        <v>2210</v>
      </c>
      <c r="B54" s="66" t="s">
        <v>49</v>
      </c>
      <c r="C54" s="21">
        <f>VLOOKUP(A54,'Contribution Allocation_Report'!$A$9:$D$310,4,FALSE)</f>
        <v>1.3676999999999999E-3</v>
      </c>
      <c r="D54" s="11"/>
      <c r="E54" s="277">
        <f>VLOOKUP(A54,Contributions_20!$A$9:$D$308,4,FALSE)</f>
        <v>1.3572E-3</v>
      </c>
      <c r="F54" s="132"/>
      <c r="G54" s="148">
        <f t="shared" si="12"/>
        <v>50853</v>
      </c>
      <c r="H54" s="276">
        <f t="shared" si="2"/>
        <v>8504</v>
      </c>
      <c r="I54" s="129">
        <f t="shared" si="7"/>
        <v>42349</v>
      </c>
      <c r="J54" s="129"/>
      <c r="K54" s="126"/>
      <c r="L54" s="280">
        <f t="shared" si="3"/>
        <v>8504</v>
      </c>
      <c r="M54" s="280">
        <f t="shared" si="3"/>
        <v>8504</v>
      </c>
      <c r="N54" s="280">
        <f t="shared" si="3"/>
        <v>8504</v>
      </c>
      <c r="O54" s="280">
        <f t="shared" si="4"/>
        <v>8504</v>
      </c>
      <c r="P54" s="155">
        <f t="shared" si="5"/>
        <v>8333</v>
      </c>
      <c r="Q54" s="155">
        <f t="shared" si="6"/>
        <v>0</v>
      </c>
    </row>
    <row r="55" spans="1:17">
      <c r="A55" s="64">
        <v>2290</v>
      </c>
      <c r="B55" s="65" t="s">
        <v>50</v>
      </c>
      <c r="C55" s="20">
        <f>VLOOKUP(A55,'Contribution Allocation_Report'!$A$9:$D$310,4,FALSE)</f>
        <v>1.3441E-3</v>
      </c>
      <c r="D55" s="11"/>
      <c r="E55" s="277">
        <f>VLOOKUP(A55,Contributions_20!$A$9:$D$308,4,FALSE)</f>
        <v>1.3045999999999999E-3</v>
      </c>
      <c r="F55" s="132"/>
      <c r="G55" s="148">
        <f t="shared" si="12"/>
        <v>191305</v>
      </c>
      <c r="H55" s="276">
        <f t="shared" si="2"/>
        <v>31991</v>
      </c>
      <c r="I55" s="129">
        <f t="shared" si="7"/>
        <v>159314</v>
      </c>
      <c r="J55" s="129"/>
      <c r="K55" s="126"/>
      <c r="L55" s="280">
        <f t="shared" si="3"/>
        <v>31991</v>
      </c>
      <c r="M55" s="280">
        <f t="shared" si="3"/>
        <v>31991</v>
      </c>
      <c r="N55" s="280">
        <f t="shared" si="3"/>
        <v>31991</v>
      </c>
      <c r="O55" s="280">
        <f t="shared" si="4"/>
        <v>31991</v>
      </c>
      <c r="P55" s="155">
        <f t="shared" si="5"/>
        <v>31350</v>
      </c>
      <c r="Q55" s="155">
        <f t="shared" si="6"/>
        <v>0</v>
      </c>
    </row>
    <row r="56" spans="1:17">
      <c r="A56" s="62">
        <v>2310</v>
      </c>
      <c r="B56" s="66" t="s">
        <v>51</v>
      </c>
      <c r="C56" s="21">
        <f>VLOOKUP(A56,'Contribution Allocation_Report'!$A$9:$D$310,4,FALSE)</f>
        <v>9.4379000000000008E-3</v>
      </c>
      <c r="D56" s="11"/>
      <c r="E56" s="277">
        <f>VLOOKUP(A56,Contributions_20!$A$9:$D$308,4,FALSE)</f>
        <v>9.6773999999999992E-3</v>
      </c>
      <c r="F56" s="132"/>
      <c r="G56" s="148">
        <f t="shared" si="12"/>
        <v>-1159939</v>
      </c>
      <c r="H56" s="276">
        <f t="shared" si="2"/>
        <v>-193970</v>
      </c>
      <c r="I56" s="129">
        <f t="shared" si="7"/>
        <v>-965969</v>
      </c>
      <c r="J56" s="129"/>
      <c r="K56" s="126"/>
      <c r="L56" s="280">
        <f t="shared" si="3"/>
        <v>-193970</v>
      </c>
      <c r="M56" s="280">
        <f t="shared" si="3"/>
        <v>-193970</v>
      </c>
      <c r="N56" s="280">
        <f t="shared" si="3"/>
        <v>-193970</v>
      </c>
      <c r="O56" s="280">
        <f t="shared" si="4"/>
        <v>-193970</v>
      </c>
      <c r="P56" s="155">
        <f t="shared" si="5"/>
        <v>-190089</v>
      </c>
      <c r="Q56" s="155">
        <f t="shared" si="6"/>
        <v>0</v>
      </c>
    </row>
    <row r="57" spans="1:17">
      <c r="A57" s="64">
        <v>2330</v>
      </c>
      <c r="B57" s="65" t="s">
        <v>52</v>
      </c>
      <c r="C57" s="20">
        <f>VLOOKUP(A57,'Contribution Allocation_Report'!$A$9:$D$310,4,FALSE)</f>
        <v>3.1703E-3</v>
      </c>
      <c r="D57" s="11"/>
      <c r="E57" s="277">
        <f>VLOOKUP(A57,Contributions_20!$A$9:$D$308,4,FALSE)</f>
        <v>3.3733999999999999E-3</v>
      </c>
      <c r="F57" s="132"/>
      <c r="G57" s="148">
        <f t="shared" si="12"/>
        <v>-983648</v>
      </c>
      <c r="H57" s="276">
        <f t="shared" si="2"/>
        <v>-164490</v>
      </c>
      <c r="I57" s="129">
        <f t="shared" si="7"/>
        <v>-819158</v>
      </c>
      <c r="J57" s="129"/>
      <c r="K57" s="126"/>
      <c r="L57" s="280">
        <f t="shared" si="3"/>
        <v>-164490</v>
      </c>
      <c r="M57" s="280">
        <f t="shared" si="3"/>
        <v>-164490</v>
      </c>
      <c r="N57" s="280">
        <f t="shared" si="3"/>
        <v>-164490</v>
      </c>
      <c r="O57" s="280">
        <f t="shared" si="4"/>
        <v>-164490</v>
      </c>
      <c r="P57" s="155">
        <f t="shared" si="5"/>
        <v>-161198</v>
      </c>
      <c r="Q57" s="155">
        <f t="shared" si="6"/>
        <v>0</v>
      </c>
    </row>
    <row r="58" spans="1:17">
      <c r="A58" s="62">
        <v>2380</v>
      </c>
      <c r="B58" s="66" t="s">
        <v>53</v>
      </c>
      <c r="C58" s="21">
        <f>VLOOKUP(A58,'Contribution Allocation_Report'!$A$9:$D$310,4,FALSE)</f>
        <v>4.6480000000000002E-4</v>
      </c>
      <c r="D58" s="11"/>
      <c r="E58" s="277">
        <f>VLOOKUP(A58,Contributions_20!$A$9:$D$308,4,FALSE)</f>
        <v>3.948E-4</v>
      </c>
      <c r="F58" s="132"/>
      <c r="G58" s="148">
        <f t="shared" si="12"/>
        <v>339022</v>
      </c>
      <c r="H58" s="276">
        <f t="shared" si="2"/>
        <v>56693</v>
      </c>
      <c r="I58" s="129">
        <f t="shared" si="7"/>
        <v>282329</v>
      </c>
      <c r="J58" s="129"/>
      <c r="K58" s="126"/>
      <c r="L58" s="280">
        <f t="shared" si="3"/>
        <v>56693</v>
      </c>
      <c r="M58" s="280">
        <f t="shared" si="3"/>
        <v>56693</v>
      </c>
      <c r="N58" s="280">
        <f t="shared" si="3"/>
        <v>56693</v>
      </c>
      <c r="O58" s="280">
        <f t="shared" si="4"/>
        <v>56693</v>
      </c>
      <c r="P58" s="155">
        <f t="shared" si="5"/>
        <v>55557</v>
      </c>
      <c r="Q58" s="155">
        <f t="shared" si="6"/>
        <v>0</v>
      </c>
    </row>
    <row r="59" spans="1:17">
      <c r="A59" s="64">
        <v>2400</v>
      </c>
      <c r="B59" s="65" t="s">
        <v>54</v>
      </c>
      <c r="C59" s="20">
        <f>VLOOKUP(A59,'Contribution Allocation_Report'!$A$9:$D$310,4,FALSE)</f>
        <v>1.6100799999999998E-2</v>
      </c>
      <c r="D59" s="11"/>
      <c r="E59" s="277">
        <f>VLOOKUP(A59,Contributions_20!$A$9:$D$308,4,FALSE)</f>
        <v>1.5952600000000001E-2</v>
      </c>
      <c r="F59" s="132"/>
      <c r="G59" s="148">
        <f t="shared" si="12"/>
        <v>717758</v>
      </c>
      <c r="H59" s="276">
        <f t="shared" si="2"/>
        <v>120026</v>
      </c>
      <c r="I59" s="129">
        <f t="shared" si="7"/>
        <v>597732</v>
      </c>
      <c r="J59" s="129"/>
      <c r="K59" s="126"/>
      <c r="L59" s="280">
        <f t="shared" si="3"/>
        <v>120027</v>
      </c>
      <c r="M59" s="280">
        <f t="shared" si="3"/>
        <v>120027</v>
      </c>
      <c r="N59" s="280">
        <f t="shared" si="3"/>
        <v>120027</v>
      </c>
      <c r="O59" s="280">
        <f t="shared" si="4"/>
        <v>120027</v>
      </c>
      <c r="P59" s="155">
        <f t="shared" si="5"/>
        <v>117624</v>
      </c>
      <c r="Q59" s="155">
        <f t="shared" si="6"/>
        <v>0</v>
      </c>
    </row>
    <row r="60" spans="1:17">
      <c r="A60" s="62">
        <v>2410</v>
      </c>
      <c r="B60" s="66" t="s">
        <v>55</v>
      </c>
      <c r="C60" s="21">
        <f>VLOOKUP(A60,'Contribution Allocation_Report'!$A$9:$D$310,4,FALSE)</f>
        <v>1.9629999999999999E-3</v>
      </c>
      <c r="D60" s="11"/>
      <c r="E60" s="277">
        <f>VLOOKUP(A60,Contributions_20!$A$9:$D$308,4,FALSE)</f>
        <v>1.9158999999999999E-3</v>
      </c>
      <c r="F60" s="132"/>
      <c r="G60" s="148">
        <f t="shared" si="12"/>
        <v>228113</v>
      </c>
      <c r="H60" s="276">
        <f t="shared" si="2"/>
        <v>38146</v>
      </c>
      <c r="I60" s="129">
        <f t="shared" si="7"/>
        <v>189967</v>
      </c>
      <c r="J60" s="129"/>
      <c r="K60" s="126"/>
      <c r="L60" s="280">
        <f t="shared" si="3"/>
        <v>38146</v>
      </c>
      <c r="M60" s="280">
        <f t="shared" si="3"/>
        <v>38146</v>
      </c>
      <c r="N60" s="280">
        <f t="shared" si="3"/>
        <v>38146</v>
      </c>
      <c r="O60" s="280">
        <f t="shared" si="4"/>
        <v>38146</v>
      </c>
      <c r="P60" s="155">
        <f t="shared" si="5"/>
        <v>37383</v>
      </c>
      <c r="Q60" s="155">
        <f t="shared" si="6"/>
        <v>0</v>
      </c>
    </row>
    <row r="61" spans="1:17">
      <c r="A61" s="64">
        <v>2500</v>
      </c>
      <c r="B61" s="65" t="s">
        <v>56</v>
      </c>
      <c r="C61" s="20">
        <f>VLOOKUP(A61,'Contribution Allocation_Report'!$A$9:$D$310,4,FALSE)</f>
        <v>2.853E-4</v>
      </c>
      <c r="D61" s="11"/>
      <c r="E61" s="277">
        <f>VLOOKUP(A61,Contributions_20!$A$9:$D$308,4,FALSE)</f>
        <v>2.7900000000000001E-4</v>
      </c>
      <c r="F61" s="132"/>
      <c r="G61" s="148">
        <f t="shared" si="12"/>
        <v>30512</v>
      </c>
      <c r="H61" s="276">
        <f t="shared" si="2"/>
        <v>5102</v>
      </c>
      <c r="I61" s="129">
        <f t="shared" si="7"/>
        <v>25410</v>
      </c>
      <c r="J61" s="129"/>
      <c r="K61" s="126"/>
      <c r="L61" s="280">
        <f t="shared" si="3"/>
        <v>5102</v>
      </c>
      <c r="M61" s="280">
        <f t="shared" si="3"/>
        <v>5102</v>
      </c>
      <c r="N61" s="280">
        <f t="shared" si="3"/>
        <v>5102</v>
      </c>
      <c r="O61" s="280">
        <f t="shared" si="4"/>
        <v>5102</v>
      </c>
      <c r="P61" s="155">
        <f t="shared" si="5"/>
        <v>5002</v>
      </c>
      <c r="Q61" s="155">
        <f t="shared" si="6"/>
        <v>0</v>
      </c>
    </row>
    <row r="62" spans="1:17">
      <c r="A62" s="62">
        <v>2550</v>
      </c>
      <c r="B62" s="66" t="s">
        <v>57</v>
      </c>
      <c r="C62" s="21">
        <f>VLOOKUP(A62,'Contribution Allocation_Report'!$A$9:$D$310,4,FALSE)</f>
        <v>1.1807E-3</v>
      </c>
      <c r="D62" s="11"/>
      <c r="E62" s="277">
        <f>VLOOKUP(A62,Contributions_20!$A$9:$D$308,4,FALSE)</f>
        <v>1.1968E-3</v>
      </c>
      <c r="F62" s="132"/>
      <c r="G62" s="148">
        <f t="shared" si="12"/>
        <v>-77975</v>
      </c>
      <c r="H62" s="276">
        <f t="shared" si="2"/>
        <v>-13039</v>
      </c>
      <c r="I62" s="129">
        <f t="shared" si="7"/>
        <v>-64936</v>
      </c>
      <c r="J62" s="129"/>
      <c r="K62" s="126"/>
      <c r="L62" s="280">
        <f t="shared" si="3"/>
        <v>-13039</v>
      </c>
      <c r="M62" s="280">
        <f t="shared" si="3"/>
        <v>-13039</v>
      </c>
      <c r="N62" s="280">
        <f t="shared" si="3"/>
        <v>-13039</v>
      </c>
      <c r="O62" s="280">
        <f t="shared" si="4"/>
        <v>-13039</v>
      </c>
      <c r="P62" s="155">
        <f t="shared" si="5"/>
        <v>-12780</v>
      </c>
      <c r="Q62" s="155">
        <f t="shared" si="6"/>
        <v>0</v>
      </c>
    </row>
    <row r="63" spans="1:17">
      <c r="A63" s="64">
        <v>2570</v>
      </c>
      <c r="B63" s="65" t="s">
        <v>58</v>
      </c>
      <c r="C63" s="20">
        <f>VLOOKUP(A63,'Contribution Allocation_Report'!$A$9:$D$310,4,FALSE)</f>
        <v>7.5569999999999999E-4</v>
      </c>
      <c r="D63" s="11"/>
      <c r="E63" s="277">
        <f>VLOOKUP(A63,Contributions_20!$A$9:$D$308,4,FALSE)</f>
        <v>7.6650000000000004E-4</v>
      </c>
      <c r="F63" s="132"/>
      <c r="G63" s="148">
        <f t="shared" si="12"/>
        <v>-52306</v>
      </c>
      <c r="H63" s="276">
        <f t="shared" si="2"/>
        <v>-8747</v>
      </c>
      <c r="I63" s="129">
        <f t="shared" si="7"/>
        <v>-43559</v>
      </c>
      <c r="J63" s="129"/>
      <c r="K63" s="126"/>
      <c r="L63" s="280">
        <f t="shared" si="3"/>
        <v>-8747</v>
      </c>
      <c r="M63" s="280">
        <f t="shared" si="3"/>
        <v>-8747</v>
      </c>
      <c r="N63" s="280">
        <f t="shared" si="3"/>
        <v>-8747</v>
      </c>
      <c r="O63" s="280">
        <f t="shared" si="4"/>
        <v>-8747</v>
      </c>
      <c r="P63" s="155">
        <f t="shared" si="5"/>
        <v>-8571</v>
      </c>
      <c r="Q63" s="155">
        <f t="shared" si="6"/>
        <v>0</v>
      </c>
    </row>
    <row r="64" spans="1:17">
      <c r="A64" s="62">
        <v>2620</v>
      </c>
      <c r="B64" s="66" t="s">
        <v>59</v>
      </c>
      <c r="C64" s="21">
        <f>VLOOKUP(A64,'Contribution Allocation_Report'!$A$9:$D$310,4,FALSE)</f>
        <v>7.0857000000000003E-3</v>
      </c>
      <c r="D64" s="11"/>
      <c r="E64" s="277">
        <f>VLOOKUP(A64,Contributions_20!$A$9:$D$308,4,FALSE)</f>
        <v>7.241E-3</v>
      </c>
      <c r="F64" s="132"/>
      <c r="G64" s="148">
        <f t="shared" si="12"/>
        <v>-752144</v>
      </c>
      <c r="H64" s="276">
        <f t="shared" si="2"/>
        <v>-125777</v>
      </c>
      <c r="I64" s="129">
        <f t="shared" si="7"/>
        <v>-626367</v>
      </c>
      <c r="J64" s="129"/>
      <c r="K64" s="126"/>
      <c r="L64" s="280">
        <f t="shared" si="3"/>
        <v>-125777</v>
      </c>
      <c r="M64" s="280">
        <f t="shared" si="3"/>
        <v>-125777</v>
      </c>
      <c r="N64" s="280">
        <f t="shared" si="3"/>
        <v>-125777</v>
      </c>
      <c r="O64" s="280">
        <f t="shared" si="4"/>
        <v>-125777</v>
      </c>
      <c r="P64" s="155">
        <f t="shared" si="5"/>
        <v>-123259</v>
      </c>
      <c r="Q64" s="155">
        <f t="shared" si="6"/>
        <v>0</v>
      </c>
    </row>
    <row r="65" spans="1:17">
      <c r="A65" s="64">
        <v>2630</v>
      </c>
      <c r="B65" s="65" t="s">
        <v>60</v>
      </c>
      <c r="C65" s="20">
        <f>VLOOKUP(A65,'Contribution Allocation_Report'!$A$9:$D$310,4,FALSE)</f>
        <v>5.4523000000000002E-3</v>
      </c>
      <c r="D65" s="11"/>
      <c r="E65" s="277">
        <f>VLOOKUP(A65,Contributions_20!$A$9:$D$308,4,FALSE)</f>
        <v>5.6483999999999996E-3</v>
      </c>
      <c r="F65" s="132"/>
      <c r="G65" s="148">
        <f t="shared" si="12"/>
        <v>-949746</v>
      </c>
      <c r="H65" s="276">
        <f t="shared" si="2"/>
        <v>-158820</v>
      </c>
      <c r="I65" s="129">
        <f t="shared" si="7"/>
        <v>-790926</v>
      </c>
      <c r="J65" s="129"/>
      <c r="K65" s="126"/>
      <c r="L65" s="280">
        <f t="shared" si="3"/>
        <v>-158820</v>
      </c>
      <c r="M65" s="280">
        <f t="shared" si="3"/>
        <v>-158820</v>
      </c>
      <c r="N65" s="280">
        <f t="shared" si="3"/>
        <v>-158820</v>
      </c>
      <c r="O65" s="280">
        <f t="shared" si="4"/>
        <v>-158820</v>
      </c>
      <c r="P65" s="155">
        <f t="shared" si="5"/>
        <v>-155646</v>
      </c>
      <c r="Q65" s="155">
        <f t="shared" si="6"/>
        <v>0</v>
      </c>
    </row>
    <row r="66" spans="1:17">
      <c r="A66" s="62">
        <v>2690</v>
      </c>
      <c r="B66" s="66" t="s">
        <v>61</v>
      </c>
      <c r="C66" s="21">
        <f>VLOOKUP(A66,'Contribution Allocation_Report'!$A$9:$D$310,4,FALSE)</f>
        <v>1.36373E-2</v>
      </c>
      <c r="D66" s="11"/>
      <c r="E66" s="277">
        <f>VLOOKUP(A66,Contributions_20!$A$9:$D$308,4,FALSE)</f>
        <v>1.4854600000000001E-2</v>
      </c>
      <c r="F66" s="132"/>
      <c r="G66" s="148">
        <f t="shared" si="12"/>
        <v>-5895590</v>
      </c>
      <c r="H66" s="276">
        <f t="shared" si="2"/>
        <v>-985885</v>
      </c>
      <c r="I66" s="129">
        <f t="shared" si="7"/>
        <v>-4909705</v>
      </c>
      <c r="J66" s="129"/>
      <c r="K66" s="126"/>
      <c r="L66" s="280">
        <f t="shared" si="3"/>
        <v>-985885</v>
      </c>
      <c r="M66" s="280">
        <f t="shared" si="3"/>
        <v>-985885</v>
      </c>
      <c r="N66" s="280">
        <f t="shared" si="3"/>
        <v>-985885</v>
      </c>
      <c r="O66" s="280">
        <f t="shared" si="4"/>
        <v>-985885</v>
      </c>
      <c r="P66" s="155">
        <f t="shared" si="5"/>
        <v>-966165</v>
      </c>
      <c r="Q66" s="155">
        <f t="shared" si="6"/>
        <v>0</v>
      </c>
    </row>
    <row r="67" spans="1:17">
      <c r="A67" s="64">
        <v>2710</v>
      </c>
      <c r="B67" s="65" t="s">
        <v>62</v>
      </c>
      <c r="C67" s="20">
        <f>VLOOKUP(A67,'Contribution Allocation_Report'!$A$9:$D$310,4,FALSE)</f>
        <v>2.4429999999999998E-4</v>
      </c>
      <c r="D67" s="11"/>
      <c r="E67" s="277">
        <f>VLOOKUP(A67,Contributions_20!$A$9:$D$308,4,FALSE)</f>
        <v>2.7619999999999999E-4</v>
      </c>
      <c r="F67" s="132"/>
      <c r="G67" s="148">
        <f t="shared" si="12"/>
        <v>-154497</v>
      </c>
      <c r="H67" s="276">
        <f t="shared" si="2"/>
        <v>-25836</v>
      </c>
      <c r="I67" s="129">
        <f t="shared" si="7"/>
        <v>-128661</v>
      </c>
      <c r="J67" s="129"/>
      <c r="K67" s="126"/>
      <c r="L67" s="280">
        <f t="shared" si="3"/>
        <v>-25836</v>
      </c>
      <c r="M67" s="280">
        <f t="shared" si="3"/>
        <v>-25836</v>
      </c>
      <c r="N67" s="280">
        <f t="shared" si="3"/>
        <v>-25836</v>
      </c>
      <c r="O67" s="280">
        <f t="shared" si="4"/>
        <v>-25836</v>
      </c>
      <c r="P67" s="155">
        <f t="shared" si="5"/>
        <v>-25317</v>
      </c>
      <c r="Q67" s="155">
        <f t="shared" si="6"/>
        <v>0</v>
      </c>
    </row>
    <row r="68" spans="1:17">
      <c r="A68" s="62">
        <v>2730</v>
      </c>
      <c r="B68" s="66" t="s">
        <v>63</v>
      </c>
      <c r="C68" s="21">
        <f>VLOOKUP(A68,'Contribution Allocation_Report'!$A$9:$D$310,4,FALSE)</f>
        <v>1.0058999999999999E-3</v>
      </c>
      <c r="D68" s="11"/>
      <c r="E68" s="277">
        <f>VLOOKUP(A68,Contributions_20!$A$9:$D$308,4,FALSE)</f>
        <v>9.7769999999999997E-4</v>
      </c>
      <c r="F68" s="132"/>
      <c r="G68" s="148">
        <f t="shared" si="12"/>
        <v>136577</v>
      </c>
      <c r="H68" s="276">
        <f t="shared" si="2"/>
        <v>22839</v>
      </c>
      <c r="I68" s="129">
        <f t="shared" si="7"/>
        <v>113738</v>
      </c>
      <c r="J68" s="129"/>
      <c r="K68" s="126"/>
      <c r="L68" s="280">
        <f t="shared" si="3"/>
        <v>22839</v>
      </c>
      <c r="M68" s="280">
        <f t="shared" si="3"/>
        <v>22839</v>
      </c>
      <c r="N68" s="280">
        <f t="shared" si="3"/>
        <v>22839</v>
      </c>
      <c r="O68" s="280">
        <f t="shared" si="4"/>
        <v>22839</v>
      </c>
      <c r="P68" s="155">
        <f t="shared" si="5"/>
        <v>22382</v>
      </c>
      <c r="Q68" s="155">
        <f t="shared" si="6"/>
        <v>0</v>
      </c>
    </row>
    <row r="69" spans="1:17">
      <c r="A69" s="64">
        <v>2950</v>
      </c>
      <c r="B69" s="65" t="s">
        <v>64</v>
      </c>
      <c r="C69" s="20">
        <f>VLOOKUP(A69,'Contribution Allocation_Report'!$A$9:$D$310,4,FALSE)</f>
        <v>8.5190000000000005E-4</v>
      </c>
      <c r="D69" s="11"/>
      <c r="E69" s="277">
        <f>VLOOKUP(A69,Contributions_20!$A$9:$D$308,4,FALSE)</f>
        <v>8.187E-4</v>
      </c>
      <c r="F69" s="132"/>
      <c r="G69" s="148">
        <f t="shared" si="12"/>
        <v>160793</v>
      </c>
      <c r="H69" s="276">
        <f t="shared" si="2"/>
        <v>26888</v>
      </c>
      <c r="I69" s="129">
        <f t="shared" si="7"/>
        <v>133905</v>
      </c>
      <c r="J69" s="129"/>
      <c r="K69" s="126"/>
      <c r="L69" s="280">
        <f t="shared" si="3"/>
        <v>26889</v>
      </c>
      <c r="M69" s="280">
        <f t="shared" si="3"/>
        <v>26889</v>
      </c>
      <c r="N69" s="280">
        <f t="shared" si="3"/>
        <v>26889</v>
      </c>
      <c r="O69" s="280">
        <f t="shared" si="4"/>
        <v>26889</v>
      </c>
      <c r="P69" s="155">
        <f t="shared" si="5"/>
        <v>26349</v>
      </c>
      <c r="Q69" s="155">
        <f t="shared" si="6"/>
        <v>0</v>
      </c>
    </row>
    <row r="70" spans="1:17">
      <c r="A70" s="62">
        <v>2760</v>
      </c>
      <c r="B70" s="66" t="s">
        <v>65</v>
      </c>
      <c r="C70" s="21">
        <f>VLOOKUP(A70,'Contribution Allocation_Report'!$A$9:$D$310,4,FALSE)</f>
        <v>8.0999999999999996E-4</v>
      </c>
      <c r="D70" s="11"/>
      <c r="E70" s="277">
        <f>VLOOKUP(A70,Contributions_20!$A$9:$D$308,4,FALSE)</f>
        <v>7.5339999999999999E-4</v>
      </c>
      <c r="F70" s="132"/>
      <c r="G70" s="148">
        <f t="shared" ref="G70:G101" si="13">ROUND((E70-C70)*$G$322,0)</f>
        <v>274123</v>
      </c>
      <c r="H70" s="276">
        <f t="shared" si="2"/>
        <v>45840</v>
      </c>
      <c r="I70" s="129">
        <f t="shared" si="7"/>
        <v>228283</v>
      </c>
      <c r="J70" s="129"/>
      <c r="K70" s="126"/>
      <c r="L70" s="280">
        <f t="shared" si="3"/>
        <v>45840</v>
      </c>
      <c r="M70" s="280">
        <f t="shared" si="3"/>
        <v>45840</v>
      </c>
      <c r="N70" s="280">
        <f t="shared" si="3"/>
        <v>45840</v>
      </c>
      <c r="O70" s="280">
        <f t="shared" si="4"/>
        <v>45840</v>
      </c>
      <c r="P70" s="155">
        <f t="shared" si="5"/>
        <v>44923</v>
      </c>
      <c r="Q70" s="155">
        <f t="shared" si="6"/>
        <v>0</v>
      </c>
    </row>
    <row r="71" spans="1:17">
      <c r="A71" s="64">
        <v>2780</v>
      </c>
      <c r="B71" s="65" t="s">
        <v>66</v>
      </c>
      <c r="C71" s="20">
        <f>VLOOKUP(A71,'Contribution Allocation_Report'!$A$9:$D$310,4,FALSE)</f>
        <v>7.2700000000000005E-5</v>
      </c>
      <c r="D71" s="11"/>
      <c r="E71" s="277">
        <f>VLOOKUP(A71,Contributions_20!$A$9:$D$308,4,FALSE)</f>
        <v>6.9300000000000004E-5</v>
      </c>
      <c r="F71" s="132"/>
      <c r="G71" s="148">
        <f t="shared" si="13"/>
        <v>16467</v>
      </c>
      <c r="H71" s="276">
        <f t="shared" ref="H71:H134" si="14">ROUND(G71/5.98,0)</f>
        <v>2754</v>
      </c>
      <c r="I71" s="129">
        <f t="shared" si="7"/>
        <v>13713</v>
      </c>
      <c r="J71" s="129"/>
      <c r="K71" s="126"/>
      <c r="L71" s="280">
        <f t="shared" ref="L71:N134" si="15">ROUND($I71/4.98,0)</f>
        <v>2754</v>
      </c>
      <c r="M71" s="280">
        <f t="shared" si="15"/>
        <v>2754</v>
      </c>
      <c r="N71" s="280">
        <f t="shared" si="15"/>
        <v>2754</v>
      </c>
      <c r="O71" s="280">
        <f t="shared" ref="O71:O134" si="16">ROUND($I71/4.98,0)</f>
        <v>2754</v>
      </c>
      <c r="P71" s="155">
        <f t="shared" ref="P71:P134" si="17">I71-SUM(L71:O71)</f>
        <v>2697</v>
      </c>
      <c r="Q71" s="155">
        <f t="shared" ref="Q71:Q134" si="18">+I71-SUM(L71:P71)</f>
        <v>0</v>
      </c>
    </row>
    <row r="72" spans="1:17">
      <c r="A72" s="62">
        <v>2810</v>
      </c>
      <c r="B72" s="66" t="s">
        <v>67</v>
      </c>
      <c r="C72" s="21">
        <f>VLOOKUP(A72,'Contribution Allocation_Report'!$A$9:$D$310,4,FALSE)</f>
        <v>5.6970000000000002E-4</v>
      </c>
      <c r="D72" s="11"/>
      <c r="E72" s="277">
        <f>VLOOKUP(A72,Contributions_20!$A$9:$D$308,4,FALSE)</f>
        <v>7.3249999999999997E-4</v>
      </c>
      <c r="F72" s="132"/>
      <c r="G72" s="148">
        <f t="shared" si="13"/>
        <v>-788468</v>
      </c>
      <c r="H72" s="276">
        <f t="shared" si="14"/>
        <v>-131851</v>
      </c>
      <c r="I72" s="129">
        <f t="shared" ref="I72:I135" si="19">G72-H72</f>
        <v>-656617</v>
      </c>
      <c r="J72" s="129"/>
      <c r="K72" s="126"/>
      <c r="L72" s="280">
        <f t="shared" si="15"/>
        <v>-131851</v>
      </c>
      <c r="M72" s="280">
        <f t="shared" si="15"/>
        <v>-131851</v>
      </c>
      <c r="N72" s="280">
        <f t="shared" si="15"/>
        <v>-131851</v>
      </c>
      <c r="O72" s="280">
        <f t="shared" si="16"/>
        <v>-131851</v>
      </c>
      <c r="P72" s="155">
        <f t="shared" si="17"/>
        <v>-129213</v>
      </c>
      <c r="Q72" s="155">
        <f t="shared" si="18"/>
        <v>0</v>
      </c>
    </row>
    <row r="73" spans="1:17">
      <c r="A73" s="64">
        <v>18056</v>
      </c>
      <c r="B73" s="65" t="s">
        <v>68</v>
      </c>
      <c r="C73" s="20">
        <f>VLOOKUP(A73,'Contribution Allocation_Report'!$A$9:$D$310,4,FALSE)</f>
        <v>6.7619999999999996E-4</v>
      </c>
      <c r="D73" s="11"/>
      <c r="E73" s="277">
        <f>VLOOKUP(A73,Contributions_20!$A$9:$D$308,4,FALSE)</f>
        <v>7.5489999999999997E-4</v>
      </c>
      <c r="F73" s="132"/>
      <c r="G73" s="148">
        <f t="shared" si="13"/>
        <v>-381157</v>
      </c>
      <c r="H73" s="276">
        <f t="shared" si="14"/>
        <v>-63739</v>
      </c>
      <c r="I73" s="129">
        <f t="shared" si="19"/>
        <v>-317418</v>
      </c>
      <c r="J73" s="129"/>
      <c r="K73" s="126"/>
      <c r="L73" s="280">
        <f t="shared" si="15"/>
        <v>-63739</v>
      </c>
      <c r="M73" s="280">
        <f t="shared" si="15"/>
        <v>-63739</v>
      </c>
      <c r="N73" s="280">
        <f t="shared" si="15"/>
        <v>-63739</v>
      </c>
      <c r="O73" s="280">
        <f t="shared" si="16"/>
        <v>-63739</v>
      </c>
      <c r="P73" s="155">
        <f t="shared" si="17"/>
        <v>-62462</v>
      </c>
      <c r="Q73" s="155">
        <f t="shared" si="18"/>
        <v>0</v>
      </c>
    </row>
    <row r="74" spans="1:17">
      <c r="A74" s="62">
        <v>15047</v>
      </c>
      <c r="B74" s="66" t="s">
        <v>69</v>
      </c>
      <c r="C74" s="21">
        <f>VLOOKUP(A74,'Contribution Allocation_Report'!$A$9:$D$310,4,FALSE)</f>
        <v>6.1629999999999996E-4</v>
      </c>
      <c r="D74" s="11"/>
      <c r="E74" s="277">
        <f>VLOOKUP(A74,Contributions_20!$A$9:$D$308,4,FALSE)</f>
        <v>5.6459999999999995E-4</v>
      </c>
      <c r="F74" s="132"/>
      <c r="G74" s="148">
        <f t="shared" si="13"/>
        <v>250392</v>
      </c>
      <c r="H74" s="276">
        <f t="shared" si="14"/>
        <v>41872</v>
      </c>
      <c r="I74" s="129">
        <f t="shared" si="19"/>
        <v>208520</v>
      </c>
      <c r="J74" s="129"/>
      <c r="K74" s="126"/>
      <c r="L74" s="280">
        <f t="shared" si="15"/>
        <v>41871</v>
      </c>
      <c r="M74" s="280">
        <f t="shared" si="15"/>
        <v>41871</v>
      </c>
      <c r="N74" s="280">
        <f t="shared" si="15"/>
        <v>41871</v>
      </c>
      <c r="O74" s="280">
        <f t="shared" si="16"/>
        <v>41871</v>
      </c>
      <c r="P74" s="155">
        <f t="shared" si="17"/>
        <v>41036</v>
      </c>
      <c r="Q74" s="155">
        <f t="shared" si="18"/>
        <v>0</v>
      </c>
    </row>
    <row r="75" spans="1:17">
      <c r="A75" s="64">
        <v>5012</v>
      </c>
      <c r="B75" s="65" t="s">
        <v>70</v>
      </c>
      <c r="C75" s="20">
        <f>VLOOKUP(A75,'Contribution Allocation_Report'!$A$9:$D$310,4,FALSE)</f>
        <v>1.0221900000000001E-2</v>
      </c>
      <c r="D75" s="11"/>
      <c r="E75" s="277">
        <f>VLOOKUP(A75,Contributions_20!$A$9:$D$308,4,FALSE)</f>
        <v>9.8350999999999994E-3</v>
      </c>
      <c r="F75" s="132"/>
      <c r="G75" s="148">
        <f t="shared" si="13"/>
        <v>1873338</v>
      </c>
      <c r="H75" s="276">
        <f t="shared" si="14"/>
        <v>313267</v>
      </c>
      <c r="I75" s="129">
        <f t="shared" si="19"/>
        <v>1560071</v>
      </c>
      <c r="J75" s="129"/>
      <c r="K75" s="126"/>
      <c r="L75" s="280">
        <f t="shared" si="15"/>
        <v>313267</v>
      </c>
      <c r="M75" s="280">
        <f t="shared" si="15"/>
        <v>313267</v>
      </c>
      <c r="N75" s="280">
        <f t="shared" si="15"/>
        <v>313267</v>
      </c>
      <c r="O75" s="280">
        <f t="shared" si="16"/>
        <v>313267</v>
      </c>
      <c r="P75" s="155">
        <f t="shared" si="17"/>
        <v>307003</v>
      </c>
      <c r="Q75" s="155">
        <f t="shared" si="18"/>
        <v>0</v>
      </c>
    </row>
    <row r="76" spans="1:17">
      <c r="A76" s="62">
        <v>8024</v>
      </c>
      <c r="B76" s="66" t="s">
        <v>71</v>
      </c>
      <c r="C76" s="21">
        <f>VLOOKUP(A76,'Contribution Allocation_Report'!$A$9:$D$310,4,FALSE)</f>
        <v>2.1629000000000002E-3</v>
      </c>
      <c r="D76" s="11"/>
      <c r="E76" s="277">
        <f>VLOOKUP(A76,Contributions_20!$A$9:$D$308,4,FALSE)</f>
        <v>2.2101999999999998E-3</v>
      </c>
      <c r="F76" s="132"/>
      <c r="G76" s="148">
        <f t="shared" si="13"/>
        <v>-229082</v>
      </c>
      <c r="H76" s="276">
        <f t="shared" si="14"/>
        <v>-38308</v>
      </c>
      <c r="I76" s="129">
        <f t="shared" si="19"/>
        <v>-190774</v>
      </c>
      <c r="J76" s="129"/>
      <c r="K76" s="126"/>
      <c r="L76" s="280">
        <f t="shared" si="15"/>
        <v>-38308</v>
      </c>
      <c r="M76" s="280">
        <f t="shared" si="15"/>
        <v>-38308</v>
      </c>
      <c r="N76" s="280">
        <f t="shared" si="15"/>
        <v>-38308</v>
      </c>
      <c r="O76" s="280">
        <f t="shared" si="16"/>
        <v>-38308</v>
      </c>
      <c r="P76" s="155">
        <f t="shared" si="17"/>
        <v>-37542</v>
      </c>
      <c r="Q76" s="155">
        <f t="shared" si="18"/>
        <v>0</v>
      </c>
    </row>
    <row r="77" spans="1:17">
      <c r="A77" s="64">
        <v>3050</v>
      </c>
      <c r="B77" s="65" t="s">
        <v>72</v>
      </c>
      <c r="C77" s="20">
        <f>VLOOKUP(A77,'Contribution Allocation_Report'!$A$9:$D$310,4,FALSE)</f>
        <v>7.0980000000000001E-4</v>
      </c>
      <c r="D77" s="11"/>
      <c r="E77" s="277">
        <f>VLOOKUP(A77,Contributions_20!$A$9:$D$308,4,FALSE)</f>
        <v>6.9660000000000002E-4</v>
      </c>
      <c r="F77" s="132"/>
      <c r="G77" s="148">
        <f t="shared" si="13"/>
        <v>63930</v>
      </c>
      <c r="H77" s="276">
        <f t="shared" si="14"/>
        <v>10691</v>
      </c>
      <c r="I77" s="129">
        <f t="shared" si="19"/>
        <v>53239</v>
      </c>
      <c r="J77" s="129"/>
      <c r="K77" s="126"/>
      <c r="L77" s="280">
        <f t="shared" si="15"/>
        <v>10691</v>
      </c>
      <c r="M77" s="280">
        <f t="shared" si="15"/>
        <v>10691</v>
      </c>
      <c r="N77" s="280">
        <f t="shared" si="15"/>
        <v>10691</v>
      </c>
      <c r="O77" s="280">
        <f t="shared" si="16"/>
        <v>10691</v>
      </c>
      <c r="P77" s="155">
        <f t="shared" si="17"/>
        <v>10475</v>
      </c>
      <c r="Q77" s="155">
        <f t="shared" si="18"/>
        <v>0</v>
      </c>
    </row>
    <row r="78" spans="1:17">
      <c r="A78" s="62">
        <v>2421</v>
      </c>
      <c r="B78" s="66" t="s">
        <v>73</v>
      </c>
      <c r="C78" s="21">
        <f>VLOOKUP(A78,'Contribution Allocation_Report'!$A$9:$D$310,4,FALSE)</f>
        <v>2.5579999999999998E-4</v>
      </c>
      <c r="D78" s="11"/>
      <c r="E78" s="277">
        <f>VLOOKUP(A78,Contributions_20!$A$9:$D$308,4,FALSE)</f>
        <v>2.4850000000000002E-4</v>
      </c>
      <c r="F78" s="132"/>
      <c r="G78" s="148">
        <f t="shared" si="13"/>
        <v>35355</v>
      </c>
      <c r="H78" s="276">
        <f t="shared" si="14"/>
        <v>5912</v>
      </c>
      <c r="I78" s="129">
        <f t="shared" si="19"/>
        <v>29443</v>
      </c>
      <c r="J78" s="129"/>
      <c r="K78" s="126"/>
      <c r="L78" s="280">
        <f t="shared" si="15"/>
        <v>5912</v>
      </c>
      <c r="M78" s="280">
        <f t="shared" si="15"/>
        <v>5912</v>
      </c>
      <c r="N78" s="280">
        <f t="shared" si="15"/>
        <v>5912</v>
      </c>
      <c r="O78" s="280">
        <f t="shared" si="16"/>
        <v>5912</v>
      </c>
      <c r="P78" s="155">
        <f t="shared" si="17"/>
        <v>5795</v>
      </c>
      <c r="Q78" s="155">
        <f t="shared" si="18"/>
        <v>0</v>
      </c>
    </row>
    <row r="79" spans="1:17">
      <c r="A79" s="64">
        <v>26079</v>
      </c>
      <c r="B79" s="65" t="s">
        <v>74</v>
      </c>
      <c r="C79" s="20">
        <f>VLOOKUP(A79,'Contribution Allocation_Report'!$A$9:$D$310,4,FALSE)</f>
        <v>2.2819999999999999E-4</v>
      </c>
      <c r="D79" s="11"/>
      <c r="E79" s="277">
        <f>VLOOKUP(A79,Contributions_20!$A$9:$D$308,4,FALSE)</f>
        <v>2.2389999999999999E-4</v>
      </c>
      <c r="F79" s="132"/>
      <c r="G79" s="148">
        <f t="shared" si="13"/>
        <v>20826</v>
      </c>
      <c r="H79" s="276">
        <f t="shared" si="14"/>
        <v>3483</v>
      </c>
      <c r="I79" s="129">
        <f t="shared" si="19"/>
        <v>17343</v>
      </c>
      <c r="J79" s="129"/>
      <c r="K79" s="126"/>
      <c r="L79" s="280">
        <f t="shared" si="15"/>
        <v>3483</v>
      </c>
      <c r="M79" s="280">
        <f t="shared" si="15"/>
        <v>3483</v>
      </c>
      <c r="N79" s="280">
        <f t="shared" si="15"/>
        <v>3483</v>
      </c>
      <c r="O79" s="280">
        <f t="shared" si="16"/>
        <v>3483</v>
      </c>
      <c r="P79" s="155">
        <f t="shared" si="17"/>
        <v>3411</v>
      </c>
      <c r="Q79" s="155">
        <f t="shared" si="18"/>
        <v>0</v>
      </c>
    </row>
    <row r="80" spans="1:17">
      <c r="A80" s="62">
        <v>2363</v>
      </c>
      <c r="B80" s="66" t="s">
        <v>75</v>
      </c>
      <c r="C80" s="21">
        <f>VLOOKUP(A80,'Contribution Allocation_Report'!$A$9:$D$310,4,FALSE)</f>
        <v>2.9730000000000002E-4</v>
      </c>
      <c r="D80" s="11"/>
      <c r="E80" s="277">
        <f>VLOOKUP(A80,Contributions_20!$A$9:$D$308,4,FALSE)</f>
        <v>2.8820000000000001E-4</v>
      </c>
      <c r="F80" s="132"/>
      <c r="G80" s="148">
        <f t="shared" si="13"/>
        <v>44073</v>
      </c>
      <c r="H80" s="276">
        <f t="shared" si="14"/>
        <v>7370</v>
      </c>
      <c r="I80" s="129">
        <f t="shared" si="19"/>
        <v>36703</v>
      </c>
      <c r="J80" s="129"/>
      <c r="K80" s="126"/>
      <c r="L80" s="280">
        <f t="shared" si="15"/>
        <v>7370</v>
      </c>
      <c r="M80" s="280">
        <f t="shared" si="15"/>
        <v>7370</v>
      </c>
      <c r="N80" s="280">
        <f t="shared" si="15"/>
        <v>7370</v>
      </c>
      <c r="O80" s="280">
        <f t="shared" si="16"/>
        <v>7370</v>
      </c>
      <c r="P80" s="155">
        <f t="shared" si="17"/>
        <v>7223</v>
      </c>
      <c r="Q80" s="155">
        <f t="shared" si="18"/>
        <v>0</v>
      </c>
    </row>
    <row r="81" spans="1:17">
      <c r="A81" s="64">
        <v>2364</v>
      </c>
      <c r="B81" s="65" t="s">
        <v>76</v>
      </c>
      <c r="C81" s="20">
        <f>VLOOKUP(A81,'Contribution Allocation_Report'!$A$9:$D$310,4,FALSE)</f>
        <v>7.6959999999999995E-4</v>
      </c>
      <c r="D81" s="11"/>
      <c r="E81" s="277">
        <f>VLOOKUP(A81,Contributions_20!$A$9:$D$308,4,FALSE)</f>
        <v>6.8970000000000001E-4</v>
      </c>
      <c r="F81" s="132"/>
      <c r="G81" s="148">
        <f t="shared" si="13"/>
        <v>386969</v>
      </c>
      <c r="H81" s="276">
        <f t="shared" si="14"/>
        <v>64711</v>
      </c>
      <c r="I81" s="129">
        <f t="shared" si="19"/>
        <v>322258</v>
      </c>
      <c r="J81" s="129"/>
      <c r="K81" s="126"/>
      <c r="L81" s="280">
        <f t="shared" si="15"/>
        <v>64710</v>
      </c>
      <c r="M81" s="280">
        <f t="shared" si="15"/>
        <v>64710</v>
      </c>
      <c r="N81" s="280">
        <f t="shared" si="15"/>
        <v>64710</v>
      </c>
      <c r="O81" s="280">
        <f t="shared" si="16"/>
        <v>64710</v>
      </c>
      <c r="P81" s="155">
        <f t="shared" si="17"/>
        <v>63418</v>
      </c>
      <c r="Q81" s="155">
        <f t="shared" si="18"/>
        <v>0</v>
      </c>
    </row>
    <row r="82" spans="1:17">
      <c r="A82" s="62">
        <v>25319</v>
      </c>
      <c r="B82" s="66" t="s">
        <v>77</v>
      </c>
      <c r="C82" s="21">
        <f>VLOOKUP(A82,'Contribution Allocation_Report'!$A$9:$D$310,4,FALSE)</f>
        <v>2.3379999999999999E-4</v>
      </c>
      <c r="D82" s="11"/>
      <c r="E82" s="277">
        <f>VLOOKUP(A82,Contributions_20!$A$9:$D$308,4,FALSE)</f>
        <v>2.1120000000000001E-4</v>
      </c>
      <c r="F82" s="132"/>
      <c r="G82" s="148">
        <f t="shared" si="13"/>
        <v>109456</v>
      </c>
      <c r="H82" s="276">
        <f t="shared" si="14"/>
        <v>18304</v>
      </c>
      <c r="I82" s="129">
        <f t="shared" si="19"/>
        <v>91152</v>
      </c>
      <c r="J82" s="129"/>
      <c r="K82" s="126"/>
      <c r="L82" s="280">
        <f t="shared" si="15"/>
        <v>18304</v>
      </c>
      <c r="M82" s="280">
        <f t="shared" si="15"/>
        <v>18304</v>
      </c>
      <c r="N82" s="280">
        <f t="shared" si="15"/>
        <v>18304</v>
      </c>
      <c r="O82" s="280">
        <f t="shared" si="16"/>
        <v>18304</v>
      </c>
      <c r="P82" s="155">
        <f t="shared" si="17"/>
        <v>17936</v>
      </c>
      <c r="Q82" s="155">
        <f t="shared" si="18"/>
        <v>0</v>
      </c>
    </row>
    <row r="83" spans="1:17">
      <c r="A83" s="64">
        <v>29087</v>
      </c>
      <c r="B83" s="65" t="s">
        <v>78</v>
      </c>
      <c r="C83" s="20">
        <f>VLOOKUP(A83,'Contribution Allocation_Report'!$A$9:$D$310,4,FALSE)</f>
        <v>1.3545E-3</v>
      </c>
      <c r="D83" s="11"/>
      <c r="E83" s="277">
        <f>VLOOKUP(A83,Contributions_20!$A$9:$D$308,4,FALSE)</f>
        <v>1.4038E-3</v>
      </c>
      <c r="F83" s="132"/>
      <c r="G83" s="148">
        <f t="shared" si="13"/>
        <v>-238768</v>
      </c>
      <c r="H83" s="276">
        <f t="shared" si="14"/>
        <v>-39928</v>
      </c>
      <c r="I83" s="129">
        <f t="shared" si="19"/>
        <v>-198840</v>
      </c>
      <c r="J83" s="129"/>
      <c r="K83" s="126"/>
      <c r="L83" s="280">
        <f t="shared" si="15"/>
        <v>-39928</v>
      </c>
      <c r="M83" s="280">
        <f t="shared" si="15"/>
        <v>-39928</v>
      </c>
      <c r="N83" s="280">
        <f t="shared" si="15"/>
        <v>-39928</v>
      </c>
      <c r="O83" s="280">
        <f t="shared" si="16"/>
        <v>-39928</v>
      </c>
      <c r="P83" s="155">
        <f t="shared" si="17"/>
        <v>-39128</v>
      </c>
      <c r="Q83" s="155">
        <f t="shared" si="18"/>
        <v>0</v>
      </c>
    </row>
    <row r="84" spans="1:17">
      <c r="A84" s="62">
        <v>3060</v>
      </c>
      <c r="B84" s="66" t="s">
        <v>79</v>
      </c>
      <c r="C84" s="21">
        <f>VLOOKUP(A84,'Contribution Allocation_Report'!$A$9:$D$310,4,FALSE)</f>
        <v>1.1953000000000001E-3</v>
      </c>
      <c r="D84" s="11"/>
      <c r="E84" s="277">
        <f>VLOOKUP(A84,Contributions_20!$A$9:$D$308,4,FALSE)</f>
        <v>1.3083999999999999E-3</v>
      </c>
      <c r="F84" s="132"/>
      <c r="G84" s="148">
        <f t="shared" si="13"/>
        <v>-547762</v>
      </c>
      <c r="H84" s="276">
        <f t="shared" si="14"/>
        <v>-91599</v>
      </c>
      <c r="I84" s="129">
        <f t="shared" si="19"/>
        <v>-456163</v>
      </c>
      <c r="J84" s="129"/>
      <c r="K84" s="126"/>
      <c r="L84" s="280">
        <f t="shared" si="15"/>
        <v>-91599</v>
      </c>
      <c r="M84" s="280">
        <f t="shared" si="15"/>
        <v>-91599</v>
      </c>
      <c r="N84" s="280">
        <f t="shared" si="15"/>
        <v>-91599</v>
      </c>
      <c r="O84" s="280">
        <f t="shared" si="16"/>
        <v>-91599</v>
      </c>
      <c r="P84" s="155">
        <f t="shared" si="17"/>
        <v>-89767</v>
      </c>
      <c r="Q84" s="155">
        <f t="shared" si="18"/>
        <v>0</v>
      </c>
    </row>
    <row r="85" spans="1:17">
      <c r="A85" s="64">
        <v>19301</v>
      </c>
      <c r="B85" s="65" t="s">
        <v>80</v>
      </c>
      <c r="C85" s="20">
        <f>VLOOKUP(A85,'Contribution Allocation_Report'!$A$9:$D$310,4,FALSE)</f>
        <v>1.7870000000000001E-4</v>
      </c>
      <c r="D85" s="11"/>
      <c r="E85" s="277">
        <f>VLOOKUP(A85,Contributions_20!$A$9:$D$308,4,FALSE)</f>
        <v>1.784E-4</v>
      </c>
      <c r="F85" s="132"/>
      <c r="G85" s="148">
        <f t="shared" si="13"/>
        <v>1453</v>
      </c>
      <c r="H85" s="276">
        <f t="shared" si="14"/>
        <v>243</v>
      </c>
      <c r="I85" s="129">
        <f t="shared" si="19"/>
        <v>1210</v>
      </c>
      <c r="J85" s="129"/>
      <c r="K85" s="126"/>
      <c r="L85" s="280">
        <f t="shared" si="15"/>
        <v>243</v>
      </c>
      <c r="M85" s="280">
        <f t="shared" si="15"/>
        <v>243</v>
      </c>
      <c r="N85" s="280">
        <f t="shared" si="15"/>
        <v>243</v>
      </c>
      <c r="O85" s="280">
        <f t="shared" si="16"/>
        <v>243</v>
      </c>
      <c r="P85" s="155">
        <f t="shared" si="17"/>
        <v>238</v>
      </c>
      <c r="Q85" s="155">
        <f t="shared" si="18"/>
        <v>0</v>
      </c>
    </row>
    <row r="86" spans="1:17">
      <c r="A86" s="62">
        <v>19059</v>
      </c>
      <c r="B86" s="66" t="s">
        <v>81</v>
      </c>
      <c r="C86" s="21">
        <f>VLOOKUP(A86,'Contribution Allocation_Report'!$A$9:$D$310,4,FALSE)</f>
        <v>7.0042999999999998E-3</v>
      </c>
      <c r="D86" s="11"/>
      <c r="E86" s="277">
        <f>VLOOKUP(A86,Contributions_20!$A$9:$D$308,4,FALSE)</f>
        <v>7.0955999999999997E-3</v>
      </c>
      <c r="F86" s="132"/>
      <c r="G86" s="148">
        <f t="shared" si="13"/>
        <v>-442181</v>
      </c>
      <c r="H86" s="276">
        <f t="shared" si="14"/>
        <v>-73943</v>
      </c>
      <c r="I86" s="129">
        <f t="shared" si="19"/>
        <v>-368238</v>
      </c>
      <c r="J86" s="129"/>
      <c r="K86" s="126"/>
      <c r="L86" s="280">
        <f t="shared" si="15"/>
        <v>-73943</v>
      </c>
      <c r="M86" s="280">
        <f t="shared" si="15"/>
        <v>-73943</v>
      </c>
      <c r="N86" s="280">
        <f t="shared" si="15"/>
        <v>-73943</v>
      </c>
      <c r="O86" s="280">
        <f t="shared" si="16"/>
        <v>-73943</v>
      </c>
      <c r="P86" s="155">
        <f t="shared" si="17"/>
        <v>-72466</v>
      </c>
      <c r="Q86" s="155">
        <f t="shared" si="18"/>
        <v>0</v>
      </c>
    </row>
    <row r="87" spans="1:17">
      <c r="A87" s="64">
        <v>18057</v>
      </c>
      <c r="B87" s="65" t="s">
        <v>82</v>
      </c>
      <c r="C87" s="20">
        <f>VLOOKUP(A87,'Contribution Allocation_Report'!$A$9:$D$310,4,FALSE)</f>
        <v>2.566E-4</v>
      </c>
      <c r="D87" s="11"/>
      <c r="E87" s="277">
        <f>VLOOKUP(A87,Contributions_20!$A$9:$D$308,4,FALSE)</f>
        <v>2.5319999999999997E-4</v>
      </c>
      <c r="F87" s="132"/>
      <c r="G87" s="148">
        <f t="shared" si="13"/>
        <v>16467</v>
      </c>
      <c r="H87" s="276">
        <f t="shared" si="14"/>
        <v>2754</v>
      </c>
      <c r="I87" s="129">
        <f t="shared" si="19"/>
        <v>13713</v>
      </c>
      <c r="J87" s="129"/>
      <c r="K87" s="126"/>
      <c r="L87" s="280">
        <f t="shared" si="15"/>
        <v>2754</v>
      </c>
      <c r="M87" s="280">
        <f t="shared" si="15"/>
        <v>2754</v>
      </c>
      <c r="N87" s="280">
        <f t="shared" si="15"/>
        <v>2754</v>
      </c>
      <c r="O87" s="280">
        <f t="shared" si="16"/>
        <v>2754</v>
      </c>
      <c r="P87" s="155">
        <f t="shared" si="17"/>
        <v>2697</v>
      </c>
      <c r="Q87" s="155">
        <f t="shared" si="18"/>
        <v>0</v>
      </c>
    </row>
    <row r="88" spans="1:17">
      <c r="A88" s="62">
        <v>4008</v>
      </c>
      <c r="B88" s="66" t="s">
        <v>83</v>
      </c>
      <c r="C88" s="21">
        <f>VLOOKUP(A88,'Contribution Allocation_Report'!$A$9:$D$310,4,FALSE)</f>
        <v>1.1689999999999999E-3</v>
      </c>
      <c r="D88" s="11"/>
      <c r="E88" s="277">
        <f>VLOOKUP(A88,Contributions_20!$A$9:$D$308,4,FALSE)</f>
        <v>1.1362E-3</v>
      </c>
      <c r="F88" s="132"/>
      <c r="G88" s="148">
        <f t="shared" si="13"/>
        <v>158856</v>
      </c>
      <c r="H88" s="276">
        <f t="shared" si="14"/>
        <v>26565</v>
      </c>
      <c r="I88" s="129">
        <f t="shared" si="19"/>
        <v>132291</v>
      </c>
      <c r="J88" s="129"/>
      <c r="K88" s="126"/>
      <c r="L88" s="280">
        <f t="shared" si="15"/>
        <v>26564</v>
      </c>
      <c r="M88" s="280">
        <f t="shared" si="15"/>
        <v>26564</v>
      </c>
      <c r="N88" s="280">
        <f t="shared" si="15"/>
        <v>26564</v>
      </c>
      <c r="O88" s="280">
        <f t="shared" si="16"/>
        <v>26564</v>
      </c>
      <c r="P88" s="155">
        <f t="shared" si="17"/>
        <v>26035</v>
      </c>
      <c r="Q88" s="155">
        <f t="shared" si="18"/>
        <v>0</v>
      </c>
    </row>
    <row r="89" spans="1:17">
      <c r="A89" s="127">
        <v>2350</v>
      </c>
      <c r="B89" s="128" t="s">
        <v>84</v>
      </c>
      <c r="C89" s="20">
        <f>VLOOKUP(A89,'Contribution Allocation_Report'!$A$9:$D$310,4,FALSE)</f>
        <v>3.8660000000000002E-4</v>
      </c>
      <c r="D89" s="11"/>
      <c r="E89" s="277">
        <f>VLOOKUP(A89,Contributions_20!$A$9:$D$308,4,FALSE)</f>
        <v>3.5290000000000001E-4</v>
      </c>
      <c r="F89" s="132"/>
      <c r="G89" s="148">
        <f t="shared" si="13"/>
        <v>163215</v>
      </c>
      <c r="H89" s="276">
        <f t="shared" si="14"/>
        <v>27293</v>
      </c>
      <c r="I89" s="129">
        <f t="shared" si="19"/>
        <v>135922</v>
      </c>
      <c r="J89" s="129"/>
      <c r="K89" s="126"/>
      <c r="L89" s="280">
        <f t="shared" si="15"/>
        <v>27294</v>
      </c>
      <c r="M89" s="280">
        <f t="shared" si="15"/>
        <v>27294</v>
      </c>
      <c r="N89" s="280">
        <f t="shared" si="15"/>
        <v>27294</v>
      </c>
      <c r="O89" s="280">
        <f t="shared" si="16"/>
        <v>27294</v>
      </c>
      <c r="P89" s="155">
        <f t="shared" si="17"/>
        <v>26746</v>
      </c>
      <c r="Q89" s="155">
        <f t="shared" si="18"/>
        <v>0</v>
      </c>
    </row>
    <row r="90" spans="1:17">
      <c r="A90" s="62">
        <v>11117</v>
      </c>
      <c r="B90" s="66" t="s">
        <v>85</v>
      </c>
      <c r="C90" s="21">
        <f>VLOOKUP(A90,'Contribution Allocation_Report'!$A$9:$D$310,4,FALSE)</f>
        <v>4.327E-4</v>
      </c>
      <c r="D90" s="11"/>
      <c r="E90" s="277">
        <f>VLOOKUP(A90,Contributions_20!$A$9:$D$308,4,FALSE)</f>
        <v>4.2349999999999999E-4</v>
      </c>
      <c r="F90" s="132"/>
      <c r="G90" s="148">
        <f t="shared" si="13"/>
        <v>44557</v>
      </c>
      <c r="H90" s="276">
        <f t="shared" si="14"/>
        <v>7451</v>
      </c>
      <c r="I90" s="129">
        <f t="shared" si="19"/>
        <v>37106</v>
      </c>
      <c r="J90" s="129"/>
      <c r="K90" s="126"/>
      <c r="L90" s="280">
        <f t="shared" si="15"/>
        <v>7451</v>
      </c>
      <c r="M90" s="280">
        <f t="shared" si="15"/>
        <v>7451</v>
      </c>
      <c r="N90" s="280">
        <f t="shared" si="15"/>
        <v>7451</v>
      </c>
      <c r="O90" s="280">
        <f t="shared" si="16"/>
        <v>7451</v>
      </c>
      <c r="P90" s="155">
        <f t="shared" si="17"/>
        <v>7302</v>
      </c>
      <c r="Q90" s="155">
        <f t="shared" si="18"/>
        <v>0</v>
      </c>
    </row>
    <row r="91" spans="1:17">
      <c r="A91" s="64">
        <v>16359</v>
      </c>
      <c r="B91" s="65" t="s">
        <v>86</v>
      </c>
      <c r="C91" s="20">
        <f>VLOOKUP(A91,'Contribution Allocation_Report'!$A$9:$D$310,4,FALSE)</f>
        <v>6.97E-5</v>
      </c>
      <c r="D91" s="11"/>
      <c r="E91" s="277">
        <f>VLOOKUP(A91,Contributions_20!$A$9:$D$308,4,FALSE)</f>
        <v>5.8300000000000001E-5</v>
      </c>
      <c r="F91" s="132"/>
      <c r="G91" s="148">
        <f t="shared" si="13"/>
        <v>55212</v>
      </c>
      <c r="H91" s="276">
        <f t="shared" si="14"/>
        <v>9233</v>
      </c>
      <c r="I91" s="129">
        <f t="shared" si="19"/>
        <v>45979</v>
      </c>
      <c r="J91" s="129"/>
      <c r="K91" s="126"/>
      <c r="L91" s="280">
        <f t="shared" si="15"/>
        <v>9233</v>
      </c>
      <c r="M91" s="280">
        <f t="shared" si="15"/>
        <v>9233</v>
      </c>
      <c r="N91" s="280">
        <f t="shared" si="15"/>
        <v>9233</v>
      </c>
      <c r="O91" s="280">
        <f t="shared" si="16"/>
        <v>9233</v>
      </c>
      <c r="P91" s="155">
        <f t="shared" si="17"/>
        <v>9047</v>
      </c>
      <c r="Q91" s="155">
        <f t="shared" si="18"/>
        <v>0</v>
      </c>
    </row>
    <row r="92" spans="1:17">
      <c r="A92" s="62">
        <v>17115</v>
      </c>
      <c r="B92" s="66" t="s">
        <v>87</v>
      </c>
      <c r="C92" s="21">
        <f>VLOOKUP(A92,'Contribution Allocation_Report'!$A$9:$D$310,4,FALSE)</f>
        <v>1.206E-3</v>
      </c>
      <c r="D92" s="11"/>
      <c r="E92" s="277">
        <f>VLOOKUP(A92,Contributions_20!$A$9:$D$308,4,FALSE)</f>
        <v>1.3293000000000001E-3</v>
      </c>
      <c r="F92" s="132"/>
      <c r="G92" s="148">
        <f t="shared" si="13"/>
        <v>-597163</v>
      </c>
      <c r="H92" s="276">
        <f t="shared" si="14"/>
        <v>-99860</v>
      </c>
      <c r="I92" s="129">
        <f t="shared" si="19"/>
        <v>-497303</v>
      </c>
      <c r="J92" s="129"/>
      <c r="K92" s="126"/>
      <c r="L92" s="280">
        <f t="shared" si="15"/>
        <v>-99860</v>
      </c>
      <c r="M92" s="280">
        <f t="shared" si="15"/>
        <v>-99860</v>
      </c>
      <c r="N92" s="280">
        <f t="shared" si="15"/>
        <v>-99860</v>
      </c>
      <c r="O92" s="280">
        <f t="shared" si="16"/>
        <v>-99860</v>
      </c>
      <c r="P92" s="155">
        <f t="shared" si="17"/>
        <v>-97863</v>
      </c>
      <c r="Q92" s="155">
        <f t="shared" si="18"/>
        <v>0</v>
      </c>
    </row>
    <row r="93" spans="1:17">
      <c r="A93" s="64">
        <v>32117</v>
      </c>
      <c r="B93" s="65" t="s">
        <v>88</v>
      </c>
      <c r="C93" s="20">
        <f>VLOOKUP(A93,'Contribution Allocation_Report'!$A$9:$D$310,4,FALSE)</f>
        <v>7.9400000000000006E-5</v>
      </c>
      <c r="D93" s="11"/>
      <c r="E93" s="277">
        <f>VLOOKUP(A93,Contributions_20!$A$9:$D$308,4,FALSE)</f>
        <v>7.3399999999999995E-5</v>
      </c>
      <c r="F93" s="132"/>
      <c r="G93" s="148">
        <f t="shared" si="13"/>
        <v>29059</v>
      </c>
      <c r="H93" s="276">
        <f t="shared" si="14"/>
        <v>4859</v>
      </c>
      <c r="I93" s="129">
        <f t="shared" si="19"/>
        <v>24200</v>
      </c>
      <c r="J93" s="129"/>
      <c r="K93" s="126"/>
      <c r="L93" s="280">
        <f t="shared" si="15"/>
        <v>4859</v>
      </c>
      <c r="M93" s="280">
        <f t="shared" si="15"/>
        <v>4859</v>
      </c>
      <c r="N93" s="280">
        <f t="shared" si="15"/>
        <v>4859</v>
      </c>
      <c r="O93" s="280">
        <f t="shared" si="16"/>
        <v>4859</v>
      </c>
      <c r="P93" s="155">
        <f t="shared" si="17"/>
        <v>4764</v>
      </c>
      <c r="Q93" s="155">
        <f t="shared" si="18"/>
        <v>0</v>
      </c>
    </row>
    <row r="94" spans="1:17">
      <c r="A94" s="62">
        <v>2304</v>
      </c>
      <c r="B94" s="66" t="s">
        <v>89</v>
      </c>
      <c r="C94" s="21">
        <f>VLOOKUP(A94,'Contribution Allocation_Report'!$A$9:$D$310,4,FALSE)</f>
        <v>4.6720000000000003E-4</v>
      </c>
      <c r="D94" s="11"/>
      <c r="E94" s="277">
        <f>VLOOKUP(A94,Contributions_20!$A$9:$D$308,4,FALSE)</f>
        <v>4.5239999999999999E-4</v>
      </c>
      <c r="F94" s="132"/>
      <c r="G94" s="148">
        <f t="shared" si="13"/>
        <v>71679</v>
      </c>
      <c r="H94" s="276">
        <f t="shared" si="14"/>
        <v>11986</v>
      </c>
      <c r="I94" s="129">
        <f t="shared" si="19"/>
        <v>59693</v>
      </c>
      <c r="J94" s="129"/>
      <c r="K94" s="126"/>
      <c r="L94" s="280">
        <f t="shared" si="15"/>
        <v>11987</v>
      </c>
      <c r="M94" s="280">
        <f t="shared" si="15"/>
        <v>11987</v>
      </c>
      <c r="N94" s="280">
        <f t="shared" si="15"/>
        <v>11987</v>
      </c>
      <c r="O94" s="280">
        <f t="shared" si="16"/>
        <v>11987</v>
      </c>
      <c r="P94" s="155">
        <f t="shared" si="17"/>
        <v>11745</v>
      </c>
      <c r="Q94" s="155">
        <f t="shared" si="18"/>
        <v>0</v>
      </c>
    </row>
    <row r="95" spans="1:17">
      <c r="A95" s="64">
        <v>11101</v>
      </c>
      <c r="B95" s="65" t="s">
        <v>91</v>
      </c>
      <c r="C95" s="20">
        <f>VLOOKUP(A95,'Contribution Allocation_Report'!$A$9:$D$310,4,FALSE)</f>
        <v>6.3426999999999997E-3</v>
      </c>
      <c r="D95" s="11"/>
      <c r="E95" s="277">
        <f>VLOOKUP(A95,Contributions_20!$A$9:$D$308,4,FALSE)</f>
        <v>6.5290000000000001E-3</v>
      </c>
      <c r="F95" s="132"/>
      <c r="G95" s="148">
        <f t="shared" si="13"/>
        <v>-902282</v>
      </c>
      <c r="H95" s="276">
        <f t="shared" si="14"/>
        <v>-150883</v>
      </c>
      <c r="I95" s="129">
        <f t="shared" si="19"/>
        <v>-751399</v>
      </c>
      <c r="K95" s="126"/>
      <c r="L95" s="280">
        <f t="shared" si="15"/>
        <v>-150883</v>
      </c>
      <c r="M95" s="280">
        <f t="shared" si="15"/>
        <v>-150883</v>
      </c>
      <c r="N95" s="280">
        <f t="shared" si="15"/>
        <v>-150883</v>
      </c>
      <c r="O95" s="280">
        <f t="shared" si="16"/>
        <v>-150883</v>
      </c>
      <c r="P95" s="155">
        <f t="shared" si="17"/>
        <v>-147867</v>
      </c>
      <c r="Q95" s="155">
        <f t="shared" si="18"/>
        <v>0</v>
      </c>
    </row>
    <row r="96" spans="1:17">
      <c r="A96" s="62">
        <v>11102</v>
      </c>
      <c r="B96" s="66" t="s">
        <v>90</v>
      </c>
      <c r="C96" s="21">
        <f>VLOOKUP(A96,'Contribution Allocation_Report'!$A$9:$D$310,4,FALSE)</f>
        <v>1.9902000000000001E-3</v>
      </c>
      <c r="D96" s="11"/>
      <c r="E96" s="277">
        <f>VLOOKUP(A96,Contributions_20!$A$9:$D$308,4,FALSE)</f>
        <v>2.0918999999999998E-3</v>
      </c>
      <c r="F96" s="132"/>
      <c r="G96" s="148">
        <f t="shared" si="13"/>
        <v>-492550</v>
      </c>
      <c r="H96" s="276">
        <f t="shared" si="14"/>
        <v>-82366</v>
      </c>
      <c r="I96" s="129">
        <f t="shared" si="19"/>
        <v>-410184</v>
      </c>
      <c r="J96" s="129"/>
      <c r="K96" s="126"/>
      <c r="L96" s="280">
        <f t="shared" si="15"/>
        <v>-82366</v>
      </c>
      <c r="M96" s="280">
        <f t="shared" si="15"/>
        <v>-82366</v>
      </c>
      <c r="N96" s="280">
        <f t="shared" si="15"/>
        <v>-82366</v>
      </c>
      <c r="O96" s="280">
        <f t="shared" si="16"/>
        <v>-82366</v>
      </c>
      <c r="P96" s="155">
        <f t="shared" si="17"/>
        <v>-80720</v>
      </c>
      <c r="Q96" s="155">
        <f t="shared" si="18"/>
        <v>0</v>
      </c>
    </row>
    <row r="97" spans="1:17">
      <c r="A97" s="64">
        <v>3100</v>
      </c>
      <c r="B97" s="65" t="s">
        <v>92</v>
      </c>
      <c r="C97" s="20">
        <f>VLOOKUP(A97,'Contribution Allocation_Report'!$A$9:$D$310,4,FALSE)</f>
        <v>4.5205999999999996E-3</v>
      </c>
      <c r="D97" s="11"/>
      <c r="E97" s="277">
        <f>VLOOKUP(A97,Contributions_20!$A$9:$D$308,4,FALSE)</f>
        <v>4.1501999999999997E-3</v>
      </c>
      <c r="F97" s="132"/>
      <c r="G97" s="148">
        <f t="shared" si="13"/>
        <v>1793910</v>
      </c>
      <c r="H97" s="276">
        <f t="shared" si="14"/>
        <v>299985</v>
      </c>
      <c r="I97" s="129">
        <f t="shared" si="19"/>
        <v>1493925</v>
      </c>
      <c r="J97" s="129"/>
      <c r="K97" s="126"/>
      <c r="L97" s="280">
        <f t="shared" si="15"/>
        <v>299985</v>
      </c>
      <c r="M97" s="280">
        <f t="shared" si="15"/>
        <v>299985</v>
      </c>
      <c r="N97" s="280">
        <f t="shared" si="15"/>
        <v>299985</v>
      </c>
      <c r="O97" s="280">
        <f t="shared" si="16"/>
        <v>299985</v>
      </c>
      <c r="P97" s="155">
        <f t="shared" si="17"/>
        <v>293985</v>
      </c>
      <c r="Q97" s="155">
        <f t="shared" si="18"/>
        <v>0</v>
      </c>
    </row>
    <row r="98" spans="1:17">
      <c r="A98" s="62">
        <v>2323</v>
      </c>
      <c r="B98" s="66" t="s">
        <v>93</v>
      </c>
      <c r="C98" s="21">
        <f>VLOOKUP(A98,'Contribution Allocation_Report'!$A$9:$D$310,4,FALSE)</f>
        <v>4.3120000000000002E-4</v>
      </c>
      <c r="D98" s="11"/>
      <c r="E98" s="277">
        <f>VLOOKUP(A98,Contributions_20!$A$9:$D$308,4,FALSE)</f>
        <v>4.3080000000000001E-4</v>
      </c>
      <c r="F98" s="132"/>
      <c r="G98" s="148">
        <f t="shared" si="13"/>
        <v>1937</v>
      </c>
      <c r="H98" s="276">
        <f t="shared" si="14"/>
        <v>324</v>
      </c>
      <c r="I98" s="129">
        <f t="shared" si="19"/>
        <v>1613</v>
      </c>
      <c r="J98" s="129"/>
      <c r="K98" s="126"/>
      <c r="L98" s="280">
        <f t="shared" si="15"/>
        <v>324</v>
      </c>
      <c r="M98" s="280">
        <f t="shared" si="15"/>
        <v>324</v>
      </c>
      <c r="N98" s="280">
        <f t="shared" si="15"/>
        <v>324</v>
      </c>
      <c r="O98" s="280">
        <f t="shared" si="16"/>
        <v>324</v>
      </c>
      <c r="P98" s="155">
        <f t="shared" si="17"/>
        <v>317</v>
      </c>
      <c r="Q98" s="155">
        <f t="shared" si="18"/>
        <v>0</v>
      </c>
    </row>
    <row r="99" spans="1:17">
      <c r="A99" s="64">
        <v>11034</v>
      </c>
      <c r="B99" s="65" t="s">
        <v>94</v>
      </c>
      <c r="C99" s="20">
        <f>VLOOKUP(A99,'Contribution Allocation_Report'!$A$9:$D$310,4,FALSE)</f>
        <v>3.1369999999999998E-4</v>
      </c>
      <c r="D99" s="11"/>
      <c r="E99" s="277">
        <f>VLOOKUP(A99,Contributions_20!$A$9:$D$308,4,FALSE)</f>
        <v>3.1750000000000002E-4</v>
      </c>
      <c r="F99" s="132"/>
      <c r="G99" s="148">
        <f t="shared" si="13"/>
        <v>-18404</v>
      </c>
      <c r="H99" s="276">
        <f t="shared" si="14"/>
        <v>-3078</v>
      </c>
      <c r="I99" s="129">
        <f t="shared" si="19"/>
        <v>-15326</v>
      </c>
      <c r="J99" s="129"/>
      <c r="K99" s="126"/>
      <c r="L99" s="280">
        <f t="shared" si="15"/>
        <v>-3078</v>
      </c>
      <c r="M99" s="280">
        <f t="shared" si="15"/>
        <v>-3078</v>
      </c>
      <c r="N99" s="280">
        <f t="shared" si="15"/>
        <v>-3078</v>
      </c>
      <c r="O99" s="280">
        <f t="shared" si="16"/>
        <v>-3078</v>
      </c>
      <c r="P99" s="155">
        <f t="shared" si="17"/>
        <v>-3014</v>
      </c>
      <c r="Q99" s="155">
        <f t="shared" si="18"/>
        <v>0</v>
      </c>
    </row>
    <row r="100" spans="1:17">
      <c r="A100" s="62">
        <v>17054</v>
      </c>
      <c r="B100" s="66" t="s">
        <v>95</v>
      </c>
      <c r="C100" s="21">
        <f>VLOOKUP(A100,'Contribution Allocation_Report'!$A$9:$D$310,4,FALSE)</f>
        <v>4.8520999999999998E-3</v>
      </c>
      <c r="D100" s="11"/>
      <c r="E100" s="277">
        <f>VLOOKUP(A100,Contributions_20!$A$9:$D$308,4,FALSE)</f>
        <v>4.8326000000000003E-3</v>
      </c>
      <c r="F100" s="132"/>
      <c r="G100" s="148">
        <f t="shared" si="13"/>
        <v>94442</v>
      </c>
      <c r="H100" s="276">
        <f t="shared" si="14"/>
        <v>15793</v>
      </c>
      <c r="I100" s="129">
        <f t="shared" si="19"/>
        <v>78649</v>
      </c>
      <c r="J100" s="129"/>
      <c r="K100" s="126"/>
      <c r="L100" s="280">
        <f t="shared" si="15"/>
        <v>15793</v>
      </c>
      <c r="M100" s="280">
        <f t="shared" si="15"/>
        <v>15793</v>
      </c>
      <c r="N100" s="280">
        <f t="shared" si="15"/>
        <v>15793</v>
      </c>
      <c r="O100" s="280">
        <f t="shared" si="16"/>
        <v>15793</v>
      </c>
      <c r="P100" s="155">
        <f t="shared" si="17"/>
        <v>15477</v>
      </c>
      <c r="Q100" s="155">
        <f t="shared" si="18"/>
        <v>0</v>
      </c>
    </row>
    <row r="101" spans="1:17">
      <c r="A101" s="64">
        <v>22065</v>
      </c>
      <c r="B101" s="65" t="s">
        <v>96</v>
      </c>
      <c r="C101" s="20">
        <f>VLOOKUP(A101,'Contribution Allocation_Report'!$A$9:$D$310,4,FALSE)</f>
        <v>1.0147999999999999E-3</v>
      </c>
      <c r="D101" s="11"/>
      <c r="E101" s="277">
        <f>VLOOKUP(A101,Contributions_20!$A$9:$D$308,4,FALSE)</f>
        <v>1.0203E-3</v>
      </c>
      <c r="F101" s="132"/>
      <c r="G101" s="148">
        <f t="shared" si="13"/>
        <v>-26637</v>
      </c>
      <c r="H101" s="276">
        <f t="shared" si="14"/>
        <v>-4454</v>
      </c>
      <c r="I101" s="129">
        <f t="shared" si="19"/>
        <v>-22183</v>
      </c>
      <c r="J101" s="129"/>
      <c r="K101" s="126"/>
      <c r="L101" s="280">
        <f t="shared" si="15"/>
        <v>-4454</v>
      </c>
      <c r="M101" s="280">
        <f t="shared" si="15"/>
        <v>-4454</v>
      </c>
      <c r="N101" s="280">
        <f t="shared" si="15"/>
        <v>-4454</v>
      </c>
      <c r="O101" s="280">
        <f t="shared" si="16"/>
        <v>-4454</v>
      </c>
      <c r="P101" s="155">
        <f t="shared" si="17"/>
        <v>-4367</v>
      </c>
      <c r="Q101" s="155">
        <f t="shared" si="18"/>
        <v>0</v>
      </c>
    </row>
    <row r="102" spans="1:17">
      <c r="A102" s="62">
        <v>22201</v>
      </c>
      <c r="B102" s="66" t="s">
        <v>97</v>
      </c>
      <c r="C102" s="21">
        <f>VLOOKUP(A102,'Contribution Allocation_Report'!$A$9:$D$310,4,FALSE)</f>
        <v>5.0409999999999995E-4</v>
      </c>
      <c r="D102" s="11"/>
      <c r="E102" s="277">
        <f>VLOOKUP(A102,Contributions_20!$A$9:$D$308,4,FALSE)</f>
        <v>5.1639999999999998E-4</v>
      </c>
      <c r="F102" s="132"/>
      <c r="G102" s="148">
        <f t="shared" ref="G102:G133" si="20">ROUND((E102-C102)*$G$322,0)</f>
        <v>-59571</v>
      </c>
      <c r="H102" s="276">
        <f t="shared" si="14"/>
        <v>-9962</v>
      </c>
      <c r="I102" s="129">
        <f t="shared" si="19"/>
        <v>-49609</v>
      </c>
      <c r="J102" s="129"/>
      <c r="K102" s="126"/>
      <c r="L102" s="280">
        <f t="shared" si="15"/>
        <v>-9962</v>
      </c>
      <c r="M102" s="280">
        <f t="shared" si="15"/>
        <v>-9962</v>
      </c>
      <c r="N102" s="280">
        <f t="shared" si="15"/>
        <v>-9962</v>
      </c>
      <c r="O102" s="280">
        <f t="shared" si="16"/>
        <v>-9962</v>
      </c>
      <c r="P102" s="155">
        <f t="shared" si="17"/>
        <v>-9761</v>
      </c>
      <c r="Q102" s="155">
        <f t="shared" si="18"/>
        <v>0</v>
      </c>
    </row>
    <row r="103" spans="1:17">
      <c r="A103" s="64">
        <v>6016</v>
      </c>
      <c r="B103" s="65" t="s">
        <v>98</v>
      </c>
      <c r="C103" s="20">
        <f>VLOOKUP(A103,'Contribution Allocation_Report'!$A$9:$D$310,4,FALSE)</f>
        <v>1.0231000000000001E-3</v>
      </c>
      <c r="D103" s="11"/>
      <c r="E103" s="277">
        <f>VLOOKUP(A103,Contributions_20!$A$9:$D$308,4,FALSE)</f>
        <v>1.0698999999999999E-3</v>
      </c>
      <c r="F103" s="132"/>
      <c r="G103" s="148">
        <f t="shared" si="20"/>
        <v>-226660</v>
      </c>
      <c r="H103" s="276">
        <f t="shared" si="14"/>
        <v>-37903</v>
      </c>
      <c r="I103" s="129">
        <f t="shared" si="19"/>
        <v>-188757</v>
      </c>
      <c r="J103" s="129"/>
      <c r="K103" s="126"/>
      <c r="L103" s="280">
        <f t="shared" si="15"/>
        <v>-37903</v>
      </c>
      <c r="M103" s="280">
        <f t="shared" si="15"/>
        <v>-37903</v>
      </c>
      <c r="N103" s="280">
        <f t="shared" si="15"/>
        <v>-37903</v>
      </c>
      <c r="O103" s="280">
        <f t="shared" si="16"/>
        <v>-37903</v>
      </c>
      <c r="P103" s="155">
        <f t="shared" si="17"/>
        <v>-37145</v>
      </c>
      <c r="Q103" s="155">
        <f t="shared" si="18"/>
        <v>0</v>
      </c>
    </row>
    <row r="104" spans="1:17">
      <c r="A104" s="62">
        <v>2432</v>
      </c>
      <c r="B104" s="66" t="s">
        <v>99</v>
      </c>
      <c r="C104" s="21">
        <f>VLOOKUP(A104,'Contribution Allocation_Report'!$A$9:$D$310,4,FALSE)</f>
        <v>7.2939999999999995E-4</v>
      </c>
      <c r="D104" s="11"/>
      <c r="E104" s="277">
        <f>VLOOKUP(A104,Contributions_20!$A$9:$D$308,4,FALSE)</f>
        <v>5.4739999999999997E-4</v>
      </c>
      <c r="F104" s="132"/>
      <c r="G104" s="148">
        <f t="shared" si="20"/>
        <v>881457</v>
      </c>
      <c r="H104" s="276">
        <f t="shared" si="14"/>
        <v>147401</v>
      </c>
      <c r="I104" s="129">
        <f t="shared" si="19"/>
        <v>734056</v>
      </c>
      <c r="J104" s="129"/>
      <c r="K104" s="126"/>
      <c r="L104" s="280">
        <f t="shared" si="15"/>
        <v>147401</v>
      </c>
      <c r="M104" s="280">
        <f t="shared" si="15"/>
        <v>147401</v>
      </c>
      <c r="N104" s="280">
        <f t="shared" si="15"/>
        <v>147401</v>
      </c>
      <c r="O104" s="280">
        <f t="shared" si="16"/>
        <v>147401</v>
      </c>
      <c r="P104" s="155">
        <f t="shared" si="17"/>
        <v>144452</v>
      </c>
      <c r="Q104" s="155">
        <f t="shared" si="18"/>
        <v>0</v>
      </c>
    </row>
    <row r="105" spans="1:17">
      <c r="A105" s="64">
        <v>16052</v>
      </c>
      <c r="B105" s="65" t="s">
        <v>100</v>
      </c>
      <c r="C105" s="20">
        <f>VLOOKUP(A105,'Contribution Allocation_Report'!$A$9:$D$310,4,FALSE)</f>
        <v>1.3478E-2</v>
      </c>
      <c r="D105" s="11"/>
      <c r="E105" s="277">
        <f>VLOOKUP(A105,Contributions_20!$A$9:$D$308,4,FALSE)</f>
        <v>1.3724999999999999E-2</v>
      </c>
      <c r="F105" s="132"/>
      <c r="G105" s="148">
        <f t="shared" si="20"/>
        <v>-1196263</v>
      </c>
      <c r="H105" s="276">
        <f t="shared" si="14"/>
        <v>-200044</v>
      </c>
      <c r="I105" s="129">
        <f t="shared" si="19"/>
        <v>-996219</v>
      </c>
      <c r="J105" s="129"/>
      <c r="K105" s="126"/>
      <c r="L105" s="280">
        <f t="shared" si="15"/>
        <v>-200044</v>
      </c>
      <c r="M105" s="280">
        <f t="shared" si="15"/>
        <v>-200044</v>
      </c>
      <c r="N105" s="280">
        <f t="shared" si="15"/>
        <v>-200044</v>
      </c>
      <c r="O105" s="280">
        <f t="shared" si="16"/>
        <v>-200044</v>
      </c>
      <c r="P105" s="155">
        <f t="shared" si="17"/>
        <v>-196043</v>
      </c>
      <c r="Q105" s="155">
        <f t="shared" si="18"/>
        <v>0</v>
      </c>
    </row>
    <row r="106" spans="1:17">
      <c r="A106" s="62">
        <v>11118</v>
      </c>
      <c r="B106" s="66" t="s">
        <v>101</v>
      </c>
      <c r="C106" s="21">
        <f>VLOOKUP(A106,'Contribution Allocation_Report'!$A$9:$D$310,4,FALSE)</f>
        <v>3.5040000000000001E-4</v>
      </c>
      <c r="D106" s="11"/>
      <c r="E106" s="277">
        <f>VLOOKUP(A106,Contributions_20!$A$9:$D$308,4,FALSE)</f>
        <v>3.86E-4</v>
      </c>
      <c r="F106" s="132"/>
      <c r="G106" s="148">
        <f t="shared" si="20"/>
        <v>-172417</v>
      </c>
      <c r="H106" s="276">
        <f t="shared" si="14"/>
        <v>-28832</v>
      </c>
      <c r="I106" s="129">
        <f t="shared" si="19"/>
        <v>-143585</v>
      </c>
      <c r="J106" s="129"/>
      <c r="K106" s="126"/>
      <c r="L106" s="280">
        <f t="shared" si="15"/>
        <v>-28832</v>
      </c>
      <c r="M106" s="280">
        <f t="shared" si="15"/>
        <v>-28832</v>
      </c>
      <c r="N106" s="280">
        <f t="shared" si="15"/>
        <v>-28832</v>
      </c>
      <c r="O106" s="280">
        <f t="shared" si="16"/>
        <v>-28832</v>
      </c>
      <c r="P106" s="155">
        <f t="shared" si="17"/>
        <v>-28257</v>
      </c>
      <c r="Q106" s="155">
        <f t="shared" si="18"/>
        <v>0</v>
      </c>
    </row>
    <row r="107" spans="1:17">
      <c r="A107" s="64">
        <v>27083</v>
      </c>
      <c r="B107" s="65" t="s">
        <v>102</v>
      </c>
      <c r="C107" s="20">
        <f>VLOOKUP(A107,'Contribution Allocation_Report'!$A$9:$D$310,4,FALSE)</f>
        <v>5.4929999999999996E-4</v>
      </c>
      <c r="D107" s="11"/>
      <c r="E107" s="277">
        <f>VLOOKUP(A107,Contributions_20!$A$9:$D$308,4,FALSE)</f>
        <v>5.6389999999999999E-4</v>
      </c>
      <c r="F107" s="132"/>
      <c r="G107" s="148">
        <f t="shared" si="20"/>
        <v>-70710</v>
      </c>
      <c r="H107" s="276">
        <f t="shared" si="14"/>
        <v>-11824</v>
      </c>
      <c r="I107" s="129">
        <f t="shared" si="19"/>
        <v>-58886</v>
      </c>
      <c r="J107" s="129"/>
      <c r="K107" s="126"/>
      <c r="L107" s="280">
        <f t="shared" si="15"/>
        <v>-11824</v>
      </c>
      <c r="M107" s="280">
        <f t="shared" si="15"/>
        <v>-11824</v>
      </c>
      <c r="N107" s="280">
        <f t="shared" si="15"/>
        <v>-11824</v>
      </c>
      <c r="O107" s="280">
        <f t="shared" si="16"/>
        <v>-11824</v>
      </c>
      <c r="P107" s="155">
        <f t="shared" si="17"/>
        <v>-11590</v>
      </c>
      <c r="Q107" s="155">
        <f t="shared" si="18"/>
        <v>0</v>
      </c>
    </row>
    <row r="108" spans="1:17">
      <c r="A108" s="62">
        <v>7021</v>
      </c>
      <c r="B108" s="66" t="s">
        <v>103</v>
      </c>
      <c r="C108" s="21">
        <f>VLOOKUP(A108,'Contribution Allocation_Report'!$A$9:$D$310,4,FALSE)</f>
        <v>1.83094E-2</v>
      </c>
      <c r="D108" s="11"/>
      <c r="E108" s="277">
        <f>VLOOKUP(A108,Contributions_20!$A$9:$D$308,4,FALSE)</f>
        <v>1.7965600000000002E-2</v>
      </c>
      <c r="F108" s="132"/>
      <c r="G108" s="148">
        <f t="shared" si="20"/>
        <v>1665082</v>
      </c>
      <c r="H108" s="276">
        <f t="shared" si="14"/>
        <v>278442</v>
      </c>
      <c r="I108" s="129">
        <f t="shared" si="19"/>
        <v>1386640</v>
      </c>
      <c r="J108" s="129"/>
      <c r="K108" s="126"/>
      <c r="L108" s="280">
        <f t="shared" si="15"/>
        <v>278442</v>
      </c>
      <c r="M108" s="280">
        <f t="shared" si="15"/>
        <v>278442</v>
      </c>
      <c r="N108" s="280">
        <f t="shared" si="15"/>
        <v>278442</v>
      </c>
      <c r="O108" s="280">
        <f t="shared" si="16"/>
        <v>278442</v>
      </c>
      <c r="P108" s="155">
        <f t="shared" si="17"/>
        <v>272872</v>
      </c>
      <c r="Q108" s="155">
        <f t="shared" si="18"/>
        <v>0</v>
      </c>
    </row>
    <row r="109" spans="1:17">
      <c r="A109" s="64">
        <v>4140</v>
      </c>
      <c r="B109" s="65" t="s">
        <v>104</v>
      </c>
      <c r="C109" s="20">
        <f>VLOOKUP(A109,'Contribution Allocation_Report'!$A$9:$D$310,4,FALSE)</f>
        <v>1.193E-4</v>
      </c>
      <c r="D109" s="11"/>
      <c r="E109" s="277">
        <f>VLOOKUP(A109,Contributions_20!$A$9:$D$308,4,FALSE)</f>
        <v>1.133E-4</v>
      </c>
      <c r="F109" s="132"/>
      <c r="G109" s="148">
        <f t="shared" si="20"/>
        <v>29059</v>
      </c>
      <c r="H109" s="276">
        <f t="shared" si="14"/>
        <v>4859</v>
      </c>
      <c r="I109" s="129">
        <f t="shared" si="19"/>
        <v>24200</v>
      </c>
      <c r="J109" s="129"/>
      <c r="K109" s="126"/>
      <c r="L109" s="280">
        <f t="shared" si="15"/>
        <v>4859</v>
      </c>
      <c r="M109" s="280">
        <f t="shared" si="15"/>
        <v>4859</v>
      </c>
      <c r="N109" s="280">
        <f t="shared" si="15"/>
        <v>4859</v>
      </c>
      <c r="O109" s="280">
        <f t="shared" si="16"/>
        <v>4859</v>
      </c>
      <c r="P109" s="155">
        <f t="shared" si="17"/>
        <v>4764</v>
      </c>
      <c r="Q109" s="155">
        <f t="shared" si="18"/>
        <v>0</v>
      </c>
    </row>
    <row r="110" spans="1:17">
      <c r="A110" s="62">
        <v>13041</v>
      </c>
      <c r="B110" s="66" t="s">
        <v>105</v>
      </c>
      <c r="C110" s="21">
        <f>VLOOKUP(A110,'Contribution Allocation_Report'!$A$9:$D$310,4,FALSE)</f>
        <v>1.62338E-2</v>
      </c>
      <c r="D110" s="11"/>
      <c r="E110" s="277">
        <f>VLOOKUP(A110,Contributions_20!$A$9:$D$308,4,FALSE)</f>
        <v>1.6929900000000001E-2</v>
      </c>
      <c r="F110" s="132"/>
      <c r="G110" s="148">
        <f t="shared" si="20"/>
        <v>-3371330</v>
      </c>
      <c r="H110" s="276">
        <f t="shared" si="14"/>
        <v>-563768</v>
      </c>
      <c r="I110" s="129">
        <f t="shared" si="19"/>
        <v>-2807562</v>
      </c>
      <c r="J110" s="129"/>
      <c r="K110" s="126"/>
      <c r="L110" s="280">
        <f t="shared" si="15"/>
        <v>-563767</v>
      </c>
      <c r="M110" s="280">
        <f t="shared" si="15"/>
        <v>-563767</v>
      </c>
      <c r="N110" s="280">
        <f t="shared" si="15"/>
        <v>-563767</v>
      </c>
      <c r="O110" s="280">
        <f t="shared" si="16"/>
        <v>-563767</v>
      </c>
      <c r="P110" s="155">
        <f t="shared" si="17"/>
        <v>-552494</v>
      </c>
      <c r="Q110" s="155">
        <f t="shared" si="18"/>
        <v>0</v>
      </c>
    </row>
    <row r="111" spans="1:17">
      <c r="A111" s="64">
        <v>2339</v>
      </c>
      <c r="B111" s="65" t="s">
        <v>106</v>
      </c>
      <c r="C111" s="20">
        <f>VLOOKUP(A111,'Contribution Allocation_Report'!$A$9:$D$310,4,FALSE)</f>
        <v>2.3910000000000001E-4</v>
      </c>
      <c r="D111" s="11"/>
      <c r="E111" s="277">
        <f>VLOOKUP(A111,Contributions_20!$A$9:$D$308,4,FALSE)</f>
        <v>2.2949999999999999E-4</v>
      </c>
      <c r="F111" s="132"/>
      <c r="G111" s="148">
        <f t="shared" si="20"/>
        <v>46494</v>
      </c>
      <c r="H111" s="276">
        <f t="shared" si="14"/>
        <v>7775</v>
      </c>
      <c r="I111" s="129">
        <f t="shared" si="19"/>
        <v>38719</v>
      </c>
      <c r="J111" s="129"/>
      <c r="K111" s="126"/>
      <c r="L111" s="280">
        <f t="shared" si="15"/>
        <v>7775</v>
      </c>
      <c r="M111" s="280">
        <f t="shared" si="15"/>
        <v>7775</v>
      </c>
      <c r="N111" s="280">
        <f t="shared" si="15"/>
        <v>7775</v>
      </c>
      <c r="O111" s="280">
        <f t="shared" si="16"/>
        <v>7775</v>
      </c>
      <c r="P111" s="155">
        <f t="shared" si="17"/>
        <v>7619</v>
      </c>
      <c r="Q111" s="155">
        <f t="shared" si="18"/>
        <v>0</v>
      </c>
    </row>
    <row r="112" spans="1:17">
      <c r="A112" s="62">
        <v>2362</v>
      </c>
      <c r="B112" s="66" t="s">
        <v>107</v>
      </c>
      <c r="C112" s="21">
        <f>VLOOKUP(A112,'Contribution Allocation_Report'!$A$9:$D$310,4,FALSE)</f>
        <v>3.0590000000000001E-4</v>
      </c>
      <c r="D112" s="11"/>
      <c r="E112" s="277">
        <f>VLOOKUP(A112,Contributions_20!$A$9:$D$308,4,FALSE)</f>
        <v>4.3150000000000003E-4</v>
      </c>
      <c r="F112" s="132"/>
      <c r="G112" s="148">
        <f t="shared" si="20"/>
        <v>-608302</v>
      </c>
      <c r="H112" s="276">
        <f t="shared" si="14"/>
        <v>-101723</v>
      </c>
      <c r="I112" s="129">
        <f t="shared" si="19"/>
        <v>-506579</v>
      </c>
      <c r="J112" s="129"/>
      <c r="K112" s="126"/>
      <c r="L112" s="280">
        <f t="shared" si="15"/>
        <v>-101723</v>
      </c>
      <c r="M112" s="280">
        <f t="shared" si="15"/>
        <v>-101723</v>
      </c>
      <c r="N112" s="280">
        <f t="shared" si="15"/>
        <v>-101723</v>
      </c>
      <c r="O112" s="280">
        <f t="shared" si="16"/>
        <v>-101723</v>
      </c>
      <c r="P112" s="155">
        <f t="shared" si="17"/>
        <v>-99687</v>
      </c>
      <c r="Q112" s="155">
        <f t="shared" si="18"/>
        <v>0</v>
      </c>
    </row>
    <row r="113" spans="1:17">
      <c r="A113" s="64">
        <v>5013</v>
      </c>
      <c r="B113" s="65" t="s">
        <v>108</v>
      </c>
      <c r="C113" s="20">
        <f>VLOOKUP(A113,'Contribution Allocation_Report'!$A$9:$D$310,4,FALSE)</f>
        <v>2.9320000000000003E-4</v>
      </c>
      <c r="D113" s="11"/>
      <c r="E113" s="277">
        <f>VLOOKUP(A113,Contributions_20!$A$9:$D$308,4,FALSE)</f>
        <v>2.8410000000000002E-4</v>
      </c>
      <c r="F113" s="132"/>
      <c r="G113" s="148">
        <f t="shared" si="20"/>
        <v>44073</v>
      </c>
      <c r="H113" s="276">
        <f t="shared" si="14"/>
        <v>7370</v>
      </c>
      <c r="I113" s="129">
        <f t="shared" si="19"/>
        <v>36703</v>
      </c>
      <c r="J113" s="129"/>
      <c r="K113" s="126"/>
      <c r="L113" s="280">
        <f t="shared" si="15"/>
        <v>7370</v>
      </c>
      <c r="M113" s="280">
        <f t="shared" si="15"/>
        <v>7370</v>
      </c>
      <c r="N113" s="280">
        <f t="shared" si="15"/>
        <v>7370</v>
      </c>
      <c r="O113" s="280">
        <f t="shared" si="16"/>
        <v>7370</v>
      </c>
      <c r="P113" s="155">
        <f t="shared" si="17"/>
        <v>7223</v>
      </c>
      <c r="Q113" s="155">
        <f t="shared" si="18"/>
        <v>0</v>
      </c>
    </row>
    <row r="114" spans="1:17">
      <c r="A114" s="62">
        <v>3110</v>
      </c>
      <c r="B114" s="66" t="s">
        <v>109</v>
      </c>
      <c r="C114" s="21">
        <f>VLOOKUP(A114,'Contribution Allocation_Report'!$A$9:$D$310,4,FALSE)</f>
        <v>1.4804E-3</v>
      </c>
      <c r="D114" s="11"/>
      <c r="E114" s="277">
        <f>VLOOKUP(A114,Contributions_20!$A$9:$D$308,4,FALSE)</f>
        <v>1.4760999999999999E-3</v>
      </c>
      <c r="F114" s="132"/>
      <c r="G114" s="148">
        <f t="shared" si="20"/>
        <v>20826</v>
      </c>
      <c r="H114" s="276">
        <f t="shared" si="14"/>
        <v>3483</v>
      </c>
      <c r="I114" s="129">
        <f t="shared" si="19"/>
        <v>17343</v>
      </c>
      <c r="J114" s="129"/>
      <c r="K114" s="126"/>
      <c r="L114" s="280">
        <f t="shared" si="15"/>
        <v>3483</v>
      </c>
      <c r="M114" s="280">
        <f t="shared" si="15"/>
        <v>3483</v>
      </c>
      <c r="N114" s="280">
        <f t="shared" si="15"/>
        <v>3483</v>
      </c>
      <c r="O114" s="280">
        <f t="shared" si="16"/>
        <v>3483</v>
      </c>
      <c r="P114" s="155">
        <f t="shared" si="17"/>
        <v>3411</v>
      </c>
      <c r="Q114" s="155">
        <f t="shared" si="18"/>
        <v>0</v>
      </c>
    </row>
    <row r="115" spans="1:17">
      <c r="A115" s="64">
        <v>14044</v>
      </c>
      <c r="B115" s="65" t="s">
        <v>110</v>
      </c>
      <c r="C115" s="20">
        <f>VLOOKUP(A115,'Contribution Allocation_Report'!$A$9:$D$310,4,FALSE)</f>
        <v>4.7152000000000001E-3</v>
      </c>
      <c r="D115" s="11"/>
      <c r="E115" s="277">
        <f>VLOOKUP(A115,Contributions_20!$A$9:$D$308,4,FALSE)</f>
        <v>4.8011E-3</v>
      </c>
      <c r="F115" s="132"/>
      <c r="G115" s="148">
        <f t="shared" si="20"/>
        <v>-416028</v>
      </c>
      <c r="H115" s="276">
        <f t="shared" si="14"/>
        <v>-69570</v>
      </c>
      <c r="I115" s="129">
        <f t="shared" si="19"/>
        <v>-346458</v>
      </c>
      <c r="J115" s="129"/>
      <c r="K115" s="126"/>
      <c r="L115" s="280">
        <f t="shared" si="15"/>
        <v>-69570</v>
      </c>
      <c r="M115" s="280">
        <f t="shared" si="15"/>
        <v>-69570</v>
      </c>
      <c r="N115" s="280">
        <f t="shared" si="15"/>
        <v>-69570</v>
      </c>
      <c r="O115" s="280">
        <f t="shared" si="16"/>
        <v>-69570</v>
      </c>
      <c r="P115" s="155">
        <f t="shared" si="17"/>
        <v>-68178</v>
      </c>
      <c r="Q115" s="155">
        <f t="shared" si="18"/>
        <v>0</v>
      </c>
    </row>
    <row r="116" spans="1:17">
      <c r="A116" s="62">
        <v>4009</v>
      </c>
      <c r="B116" s="66" t="s">
        <v>111</v>
      </c>
      <c r="C116" s="21">
        <f>VLOOKUP(A116,'Contribution Allocation_Report'!$A$9:$D$310,4,FALSE)</f>
        <v>6.3089999999999999E-4</v>
      </c>
      <c r="D116" s="11"/>
      <c r="E116" s="277">
        <f>VLOOKUP(A116,Contributions_20!$A$9:$D$308,4,FALSE)</f>
        <v>6.5289999999999999E-4</v>
      </c>
      <c r="F116" s="132"/>
      <c r="G116" s="148">
        <f t="shared" si="20"/>
        <v>-106550</v>
      </c>
      <c r="H116" s="276">
        <f t="shared" si="14"/>
        <v>-17818</v>
      </c>
      <c r="I116" s="129">
        <f t="shared" si="19"/>
        <v>-88732</v>
      </c>
      <c r="J116" s="129"/>
      <c r="K116" s="126"/>
      <c r="L116" s="280">
        <f t="shared" si="15"/>
        <v>-17818</v>
      </c>
      <c r="M116" s="280">
        <f t="shared" si="15"/>
        <v>-17818</v>
      </c>
      <c r="N116" s="280">
        <f t="shared" si="15"/>
        <v>-17818</v>
      </c>
      <c r="O116" s="280">
        <f t="shared" si="16"/>
        <v>-17818</v>
      </c>
      <c r="P116" s="155">
        <f t="shared" si="17"/>
        <v>-17460</v>
      </c>
      <c r="Q116" s="155">
        <f t="shared" si="18"/>
        <v>0</v>
      </c>
    </row>
    <row r="117" spans="1:17">
      <c r="A117" s="64">
        <v>7022</v>
      </c>
      <c r="B117" s="65" t="s">
        <v>112</v>
      </c>
      <c r="C117" s="20">
        <f>VLOOKUP(A117,'Contribution Allocation_Report'!$A$9:$D$310,4,FALSE)</f>
        <v>1.6685999999999999E-3</v>
      </c>
      <c r="D117" s="11"/>
      <c r="E117" s="277">
        <f>VLOOKUP(A117,Contributions_20!$A$9:$D$308,4,FALSE)</f>
        <v>1.6911999999999999E-3</v>
      </c>
      <c r="F117" s="132"/>
      <c r="G117" s="148">
        <f t="shared" si="20"/>
        <v>-109456</v>
      </c>
      <c r="H117" s="276">
        <f t="shared" si="14"/>
        <v>-18304</v>
      </c>
      <c r="I117" s="129">
        <f t="shared" si="19"/>
        <v>-91152</v>
      </c>
      <c r="J117" s="129"/>
      <c r="K117" s="126"/>
      <c r="L117" s="280">
        <f t="shared" si="15"/>
        <v>-18304</v>
      </c>
      <c r="M117" s="280">
        <f t="shared" si="15"/>
        <v>-18304</v>
      </c>
      <c r="N117" s="280">
        <f t="shared" si="15"/>
        <v>-18304</v>
      </c>
      <c r="O117" s="280">
        <f t="shared" si="16"/>
        <v>-18304</v>
      </c>
      <c r="P117" s="155">
        <f t="shared" si="17"/>
        <v>-17936</v>
      </c>
      <c r="Q117" s="155">
        <f t="shared" si="18"/>
        <v>0</v>
      </c>
    </row>
    <row r="118" spans="1:17">
      <c r="A118" s="62">
        <v>2430</v>
      </c>
      <c r="B118" s="66" t="s">
        <v>113</v>
      </c>
      <c r="C118" s="21">
        <f>VLOOKUP(A118,'Contribution Allocation_Report'!$A$9:$D$310,4,FALSE)</f>
        <v>2.588E-4</v>
      </c>
      <c r="D118" s="11"/>
      <c r="E118" s="277">
        <f>VLOOKUP(A118,Contributions_20!$A$9:$D$308,4,FALSE)</f>
        <v>2.6840000000000002E-4</v>
      </c>
      <c r="F118" s="132"/>
      <c r="G118" s="148">
        <f t="shared" si="20"/>
        <v>-46494</v>
      </c>
      <c r="H118" s="276">
        <f t="shared" si="14"/>
        <v>-7775</v>
      </c>
      <c r="I118" s="129">
        <f t="shared" si="19"/>
        <v>-38719</v>
      </c>
      <c r="J118" s="129"/>
      <c r="K118" s="126"/>
      <c r="L118" s="280">
        <f t="shared" si="15"/>
        <v>-7775</v>
      </c>
      <c r="M118" s="280">
        <f t="shared" si="15"/>
        <v>-7775</v>
      </c>
      <c r="N118" s="280">
        <f t="shared" si="15"/>
        <v>-7775</v>
      </c>
      <c r="O118" s="280">
        <f t="shared" si="16"/>
        <v>-7775</v>
      </c>
      <c r="P118" s="155">
        <f t="shared" si="17"/>
        <v>-7619</v>
      </c>
      <c r="Q118" s="155">
        <f t="shared" si="18"/>
        <v>0</v>
      </c>
    </row>
    <row r="119" spans="1:17">
      <c r="A119" s="64">
        <v>9150</v>
      </c>
      <c r="B119" s="65" t="s">
        <v>114</v>
      </c>
      <c r="C119" s="20">
        <f>VLOOKUP(A119,'Contribution Allocation_Report'!$A$9:$D$310,4,FALSE)</f>
        <v>1.3860000000000001E-4</v>
      </c>
      <c r="D119" s="11"/>
      <c r="E119" s="277">
        <f>VLOOKUP(A119,Contributions_20!$A$9:$D$308,4,FALSE)</f>
        <v>1.5970000000000001E-4</v>
      </c>
      <c r="F119" s="132"/>
      <c r="G119" s="148">
        <f t="shared" si="20"/>
        <v>-102191</v>
      </c>
      <c r="H119" s="276">
        <f t="shared" si="14"/>
        <v>-17089</v>
      </c>
      <c r="I119" s="129">
        <f t="shared" si="19"/>
        <v>-85102</v>
      </c>
      <c r="J119" s="129"/>
      <c r="K119" s="126"/>
      <c r="L119" s="280">
        <f t="shared" si="15"/>
        <v>-17089</v>
      </c>
      <c r="M119" s="280">
        <f t="shared" si="15"/>
        <v>-17089</v>
      </c>
      <c r="N119" s="280">
        <f t="shared" si="15"/>
        <v>-17089</v>
      </c>
      <c r="O119" s="280">
        <f t="shared" si="16"/>
        <v>-17089</v>
      </c>
      <c r="P119" s="155">
        <f t="shared" si="17"/>
        <v>-16746</v>
      </c>
      <c r="Q119" s="155">
        <f t="shared" si="18"/>
        <v>0</v>
      </c>
    </row>
    <row r="120" spans="1:17">
      <c r="A120" s="62">
        <v>6017</v>
      </c>
      <c r="B120" s="66" t="s">
        <v>115</v>
      </c>
      <c r="C120" s="21">
        <f>VLOOKUP(A120,'Contribution Allocation_Report'!$A$9:$D$310,4,FALSE)</f>
        <v>1.27368E-2</v>
      </c>
      <c r="D120" s="11"/>
      <c r="E120" s="277">
        <f>VLOOKUP(A120,Contributions_20!$A$9:$D$308,4,FALSE)</f>
        <v>1.1790699999999999E-2</v>
      </c>
      <c r="F120" s="132"/>
      <c r="G120" s="148">
        <f t="shared" si="20"/>
        <v>4582123</v>
      </c>
      <c r="H120" s="276">
        <f t="shared" si="14"/>
        <v>766241</v>
      </c>
      <c r="I120" s="129">
        <f t="shared" si="19"/>
        <v>3815882</v>
      </c>
      <c r="J120" s="129"/>
      <c r="K120" s="126"/>
      <c r="L120" s="280">
        <f t="shared" si="15"/>
        <v>766241</v>
      </c>
      <c r="M120" s="280">
        <f t="shared" si="15"/>
        <v>766241</v>
      </c>
      <c r="N120" s="280">
        <f t="shared" si="15"/>
        <v>766241</v>
      </c>
      <c r="O120" s="280">
        <f t="shared" si="16"/>
        <v>766241</v>
      </c>
      <c r="P120" s="155">
        <f t="shared" si="17"/>
        <v>750918</v>
      </c>
      <c r="Q120" s="155">
        <f t="shared" si="18"/>
        <v>0</v>
      </c>
    </row>
    <row r="121" spans="1:17">
      <c r="A121" s="64">
        <v>26080</v>
      </c>
      <c r="B121" s="65" t="s">
        <v>116</v>
      </c>
      <c r="C121" s="20">
        <f>VLOOKUP(A121,'Contribution Allocation_Report'!$A$9:$D$310,4,FALSE)</f>
        <v>3.481E-4</v>
      </c>
      <c r="D121" s="11"/>
      <c r="E121" s="277">
        <f>VLOOKUP(A121,Contributions_20!$A$9:$D$308,4,FALSE)</f>
        <v>3.2449999999999997E-4</v>
      </c>
      <c r="F121" s="132"/>
      <c r="G121" s="148">
        <f t="shared" si="20"/>
        <v>114299</v>
      </c>
      <c r="H121" s="276">
        <f t="shared" si="14"/>
        <v>19114</v>
      </c>
      <c r="I121" s="129">
        <f t="shared" si="19"/>
        <v>95185</v>
      </c>
      <c r="J121" s="129"/>
      <c r="K121" s="126"/>
      <c r="L121" s="280">
        <f t="shared" si="15"/>
        <v>19113</v>
      </c>
      <c r="M121" s="280">
        <f t="shared" si="15"/>
        <v>19113</v>
      </c>
      <c r="N121" s="280">
        <f t="shared" si="15"/>
        <v>19113</v>
      </c>
      <c r="O121" s="280">
        <f t="shared" si="16"/>
        <v>19113</v>
      </c>
      <c r="P121" s="155">
        <f t="shared" si="17"/>
        <v>18733</v>
      </c>
      <c r="Q121" s="155">
        <f t="shared" si="18"/>
        <v>0</v>
      </c>
    </row>
    <row r="122" spans="1:17">
      <c r="A122" s="62">
        <v>2327</v>
      </c>
      <c r="B122" s="66" t="s">
        <v>117</v>
      </c>
      <c r="C122" s="21">
        <f>VLOOKUP(A122,'Contribution Allocation_Report'!$A$9:$D$310,4,FALSE)</f>
        <v>4.325E-4</v>
      </c>
      <c r="D122" s="11"/>
      <c r="E122" s="277">
        <f>VLOOKUP(A122,Contributions_20!$A$9:$D$308,4,FALSE)</f>
        <v>4.7540000000000001E-4</v>
      </c>
      <c r="F122" s="132"/>
      <c r="G122" s="148">
        <f t="shared" si="20"/>
        <v>-207772</v>
      </c>
      <c r="H122" s="276">
        <f t="shared" si="14"/>
        <v>-34744</v>
      </c>
      <c r="I122" s="129">
        <f t="shared" si="19"/>
        <v>-173028</v>
      </c>
      <c r="J122" s="129"/>
      <c r="K122" s="126"/>
      <c r="L122" s="280">
        <f t="shared" si="15"/>
        <v>-34745</v>
      </c>
      <c r="M122" s="280">
        <f t="shared" si="15"/>
        <v>-34745</v>
      </c>
      <c r="N122" s="280">
        <f t="shared" si="15"/>
        <v>-34745</v>
      </c>
      <c r="O122" s="280">
        <f t="shared" si="16"/>
        <v>-34745</v>
      </c>
      <c r="P122" s="155">
        <f t="shared" si="17"/>
        <v>-34048</v>
      </c>
      <c r="Q122" s="155">
        <f t="shared" si="18"/>
        <v>0</v>
      </c>
    </row>
    <row r="123" spans="1:17">
      <c r="A123" s="64">
        <v>10119</v>
      </c>
      <c r="B123" s="65" t="s">
        <v>118</v>
      </c>
      <c r="C123" s="20">
        <f>VLOOKUP(A123,'Contribution Allocation_Report'!$A$9:$D$310,4,FALSE)</f>
        <v>2.4000000000000001E-4</v>
      </c>
      <c r="D123" s="11"/>
      <c r="E123" s="277">
        <f>VLOOKUP(A123,Contributions_20!$A$9:$D$308,4,FALSE)</f>
        <v>2.343E-4</v>
      </c>
      <c r="F123" s="132"/>
      <c r="G123" s="148">
        <f t="shared" si="20"/>
        <v>27606</v>
      </c>
      <c r="H123" s="276">
        <f t="shared" si="14"/>
        <v>4616</v>
      </c>
      <c r="I123" s="129">
        <f t="shared" si="19"/>
        <v>22990</v>
      </c>
      <c r="J123" s="129"/>
      <c r="K123" s="126"/>
      <c r="L123" s="280">
        <f t="shared" si="15"/>
        <v>4616</v>
      </c>
      <c r="M123" s="280">
        <f t="shared" si="15"/>
        <v>4616</v>
      </c>
      <c r="N123" s="280">
        <f t="shared" si="15"/>
        <v>4616</v>
      </c>
      <c r="O123" s="280">
        <f t="shared" si="16"/>
        <v>4616</v>
      </c>
      <c r="P123" s="155">
        <f t="shared" si="17"/>
        <v>4526</v>
      </c>
      <c r="Q123" s="155">
        <f t="shared" si="18"/>
        <v>0</v>
      </c>
    </row>
    <row r="124" spans="1:17">
      <c r="A124" s="62">
        <v>573</v>
      </c>
      <c r="B124" s="66" t="s">
        <v>412</v>
      </c>
      <c r="C124" s="21">
        <f>VLOOKUP(A124,'Contribution Allocation_Report'!$A$9:$D$310,4,FALSE)</f>
        <v>3.8769999999999999E-4</v>
      </c>
      <c r="D124" s="11"/>
      <c r="E124" s="277">
        <f>VLOOKUP(A124,Contributions_20!$A$9:$D$308,4,FALSE)</f>
        <v>2.9149999999999998E-4</v>
      </c>
      <c r="F124" s="132"/>
      <c r="G124" s="148">
        <f t="shared" si="20"/>
        <v>465913</v>
      </c>
      <c r="H124" s="276">
        <f t="shared" si="14"/>
        <v>77912</v>
      </c>
      <c r="I124" s="129">
        <f t="shared" si="19"/>
        <v>388001</v>
      </c>
      <c r="J124" s="129"/>
      <c r="K124" s="126"/>
      <c r="L124" s="280">
        <f t="shared" si="15"/>
        <v>77912</v>
      </c>
      <c r="M124" s="280">
        <f t="shared" si="15"/>
        <v>77912</v>
      </c>
      <c r="N124" s="280">
        <f t="shared" si="15"/>
        <v>77912</v>
      </c>
      <c r="O124" s="280">
        <f t="shared" si="16"/>
        <v>77912</v>
      </c>
      <c r="P124" s="155">
        <f t="shared" si="17"/>
        <v>76353</v>
      </c>
      <c r="Q124" s="155">
        <f t="shared" si="18"/>
        <v>0</v>
      </c>
    </row>
    <row r="125" spans="1:17">
      <c r="A125" s="64">
        <v>2368</v>
      </c>
      <c r="B125" s="65" t="s">
        <v>119</v>
      </c>
      <c r="C125" s="20">
        <f>VLOOKUP(A125,'Contribution Allocation_Report'!$A$9:$D$310,4,FALSE)</f>
        <v>5.0089999999999998E-4</v>
      </c>
      <c r="D125" s="11"/>
      <c r="E125" s="277">
        <f>VLOOKUP(A125,Contributions_20!$A$9:$D$308,4,FALSE)</f>
        <v>3.769E-4</v>
      </c>
      <c r="F125" s="132"/>
      <c r="G125" s="148">
        <f t="shared" si="20"/>
        <v>600553</v>
      </c>
      <c r="H125" s="276">
        <f t="shared" si="14"/>
        <v>100427</v>
      </c>
      <c r="I125" s="129">
        <f t="shared" si="19"/>
        <v>500126</v>
      </c>
      <c r="J125" s="129"/>
      <c r="K125" s="126"/>
      <c r="L125" s="280">
        <f t="shared" si="15"/>
        <v>100427</v>
      </c>
      <c r="M125" s="280">
        <f t="shared" si="15"/>
        <v>100427</v>
      </c>
      <c r="N125" s="280">
        <f t="shared" si="15"/>
        <v>100427</v>
      </c>
      <c r="O125" s="280">
        <f t="shared" si="16"/>
        <v>100427</v>
      </c>
      <c r="P125" s="155">
        <f t="shared" si="17"/>
        <v>98418</v>
      </c>
      <c r="Q125" s="155">
        <f t="shared" si="18"/>
        <v>0</v>
      </c>
    </row>
    <row r="126" spans="1:17">
      <c r="A126" s="62">
        <v>7420</v>
      </c>
      <c r="B126" s="66" t="s">
        <v>120</v>
      </c>
      <c r="C126" s="21">
        <f>VLOOKUP(A126,'Contribution Allocation_Report'!$A$9:$D$310,4,FALSE)</f>
        <v>2.374E-4</v>
      </c>
      <c r="D126" s="11"/>
      <c r="E126" s="277">
        <f>VLOOKUP(A126,Contributions_20!$A$9:$D$308,4,FALSE)</f>
        <v>2.1939999999999999E-4</v>
      </c>
      <c r="F126" s="132"/>
      <c r="G126" s="148">
        <f t="shared" si="20"/>
        <v>87177</v>
      </c>
      <c r="H126" s="276">
        <f t="shared" si="14"/>
        <v>14578</v>
      </c>
      <c r="I126" s="129">
        <f t="shared" si="19"/>
        <v>72599</v>
      </c>
      <c r="J126" s="129"/>
      <c r="K126" s="126"/>
      <c r="L126" s="280">
        <f t="shared" si="15"/>
        <v>14578</v>
      </c>
      <c r="M126" s="280">
        <f t="shared" si="15"/>
        <v>14578</v>
      </c>
      <c r="N126" s="280">
        <f t="shared" si="15"/>
        <v>14578</v>
      </c>
      <c r="O126" s="280">
        <f t="shared" si="16"/>
        <v>14578</v>
      </c>
      <c r="P126" s="155">
        <f t="shared" si="17"/>
        <v>14287</v>
      </c>
      <c r="Q126" s="155">
        <f t="shared" si="18"/>
        <v>0</v>
      </c>
    </row>
    <row r="127" spans="1:17">
      <c r="A127" s="64">
        <v>6018</v>
      </c>
      <c r="B127" s="65" t="s">
        <v>121</v>
      </c>
      <c r="C127" s="20">
        <f>VLOOKUP(A127,'Contribution Allocation_Report'!$A$9:$D$310,4,FALSE)</f>
        <v>7.2349999999999997E-4</v>
      </c>
      <c r="D127" s="11"/>
      <c r="E127" s="277">
        <f>VLOOKUP(A127,Contributions_20!$A$9:$D$308,4,FALSE)</f>
        <v>6.9130000000000005E-4</v>
      </c>
      <c r="F127" s="132"/>
      <c r="G127" s="148">
        <f t="shared" si="20"/>
        <v>155950</v>
      </c>
      <c r="H127" s="276">
        <f t="shared" si="14"/>
        <v>26079</v>
      </c>
      <c r="I127" s="129">
        <f t="shared" si="19"/>
        <v>129871</v>
      </c>
      <c r="J127" s="129"/>
      <c r="K127" s="126"/>
      <c r="L127" s="280">
        <f t="shared" si="15"/>
        <v>26079</v>
      </c>
      <c r="M127" s="280">
        <f t="shared" si="15"/>
        <v>26079</v>
      </c>
      <c r="N127" s="280">
        <f t="shared" si="15"/>
        <v>26079</v>
      </c>
      <c r="O127" s="280">
        <f t="shared" si="16"/>
        <v>26079</v>
      </c>
      <c r="P127" s="155">
        <f t="shared" si="17"/>
        <v>25555</v>
      </c>
      <c r="Q127" s="155">
        <f t="shared" si="18"/>
        <v>0</v>
      </c>
    </row>
    <row r="128" spans="1:17">
      <c r="A128" s="62">
        <v>3321</v>
      </c>
      <c r="B128" s="66" t="s">
        <v>122</v>
      </c>
      <c r="C128" s="21">
        <f>VLOOKUP(A128,'Contribution Allocation_Report'!$A$9:$D$310,4,FALSE)</f>
        <v>3.0289999999999999E-4</v>
      </c>
      <c r="D128" s="11"/>
      <c r="E128" s="277">
        <f>VLOOKUP(A128,Contributions_20!$A$9:$D$308,4,FALSE)</f>
        <v>2.9090000000000002E-4</v>
      </c>
      <c r="F128" s="132"/>
      <c r="G128" s="148">
        <f t="shared" si="20"/>
        <v>58118</v>
      </c>
      <c r="H128" s="276">
        <f t="shared" si="14"/>
        <v>9719</v>
      </c>
      <c r="I128" s="129">
        <f t="shared" si="19"/>
        <v>48399</v>
      </c>
      <c r="J128" s="129"/>
      <c r="K128" s="126"/>
      <c r="L128" s="280">
        <f t="shared" si="15"/>
        <v>9719</v>
      </c>
      <c r="M128" s="280">
        <f t="shared" si="15"/>
        <v>9719</v>
      </c>
      <c r="N128" s="280">
        <f t="shared" si="15"/>
        <v>9719</v>
      </c>
      <c r="O128" s="280">
        <f t="shared" si="16"/>
        <v>9719</v>
      </c>
      <c r="P128" s="155">
        <f t="shared" si="17"/>
        <v>9523</v>
      </c>
      <c r="Q128" s="155">
        <f t="shared" si="18"/>
        <v>0</v>
      </c>
    </row>
    <row r="129" spans="1:17">
      <c r="A129" s="64">
        <v>29122</v>
      </c>
      <c r="B129" s="65" t="s">
        <v>123</v>
      </c>
      <c r="C129" s="20">
        <f>VLOOKUP(A129,'Contribution Allocation_Report'!$A$9:$D$310,4,FALSE)</f>
        <v>4.0420000000000001E-4</v>
      </c>
      <c r="D129" s="11"/>
      <c r="E129" s="277">
        <f>VLOOKUP(A129,Contributions_20!$A$9:$D$308,4,FALSE)</f>
        <v>4.6050000000000003E-4</v>
      </c>
      <c r="F129" s="132"/>
      <c r="G129" s="148">
        <f t="shared" si="20"/>
        <v>-272670</v>
      </c>
      <c r="H129" s="276">
        <f t="shared" si="14"/>
        <v>-45597</v>
      </c>
      <c r="I129" s="129">
        <f t="shared" si="19"/>
        <v>-227073</v>
      </c>
      <c r="J129" s="129"/>
      <c r="K129" s="126"/>
      <c r="L129" s="280">
        <f t="shared" si="15"/>
        <v>-45597</v>
      </c>
      <c r="M129" s="280">
        <f t="shared" si="15"/>
        <v>-45597</v>
      </c>
      <c r="N129" s="280">
        <f t="shared" si="15"/>
        <v>-45597</v>
      </c>
      <c r="O129" s="280">
        <f t="shared" si="16"/>
        <v>-45597</v>
      </c>
      <c r="P129" s="155">
        <f t="shared" si="17"/>
        <v>-44685</v>
      </c>
      <c r="Q129" s="155">
        <f t="shared" si="18"/>
        <v>0</v>
      </c>
    </row>
    <row r="130" spans="1:17">
      <c r="A130" s="62">
        <v>29088</v>
      </c>
      <c r="B130" s="66" t="s">
        <v>124</v>
      </c>
      <c r="C130" s="21">
        <f>VLOOKUP(A130,'Contribution Allocation_Report'!$A$9:$D$310,4,FALSE)</f>
        <v>5.3930000000000004E-4</v>
      </c>
      <c r="D130" s="11"/>
      <c r="E130" s="277">
        <f>VLOOKUP(A130,Contributions_20!$A$9:$D$308,4,FALSE)</f>
        <v>5.4129999999999998E-4</v>
      </c>
      <c r="F130" s="132"/>
      <c r="G130" s="148">
        <f t="shared" si="20"/>
        <v>-9686</v>
      </c>
      <c r="H130" s="276">
        <f t="shared" si="14"/>
        <v>-1620</v>
      </c>
      <c r="I130" s="129">
        <f t="shared" si="19"/>
        <v>-8066</v>
      </c>
      <c r="J130" s="129"/>
      <c r="K130" s="126"/>
      <c r="L130" s="280">
        <f t="shared" si="15"/>
        <v>-1620</v>
      </c>
      <c r="M130" s="280">
        <f t="shared" si="15"/>
        <v>-1620</v>
      </c>
      <c r="N130" s="280">
        <f t="shared" si="15"/>
        <v>-1620</v>
      </c>
      <c r="O130" s="280">
        <f t="shared" si="16"/>
        <v>-1620</v>
      </c>
      <c r="P130" s="155">
        <f t="shared" si="17"/>
        <v>-1586</v>
      </c>
      <c r="Q130" s="155">
        <f t="shared" si="18"/>
        <v>0</v>
      </c>
    </row>
    <row r="131" spans="1:17">
      <c r="A131" s="64">
        <v>7337</v>
      </c>
      <c r="B131" s="65" t="s">
        <v>125</v>
      </c>
      <c r="C131" s="20">
        <f>VLOOKUP(A131,'Contribution Allocation_Report'!$A$9:$D$310,4,FALSE)</f>
        <v>1.3899999999999999E-4</v>
      </c>
      <c r="D131" s="11"/>
      <c r="E131" s="277">
        <f>VLOOKUP(A131,Contributions_20!$A$9:$D$308,4,FALSE)</f>
        <v>1.6239999999999999E-4</v>
      </c>
      <c r="F131" s="132"/>
      <c r="G131" s="148">
        <f t="shared" si="20"/>
        <v>-113330</v>
      </c>
      <c r="H131" s="276">
        <f t="shared" si="14"/>
        <v>-18952</v>
      </c>
      <c r="I131" s="129">
        <f t="shared" si="19"/>
        <v>-94378</v>
      </c>
      <c r="J131" s="129"/>
      <c r="K131" s="126"/>
      <c r="L131" s="280">
        <f t="shared" si="15"/>
        <v>-18951</v>
      </c>
      <c r="M131" s="280">
        <f t="shared" si="15"/>
        <v>-18951</v>
      </c>
      <c r="N131" s="280">
        <f t="shared" si="15"/>
        <v>-18951</v>
      </c>
      <c r="O131" s="280">
        <f t="shared" si="16"/>
        <v>-18951</v>
      </c>
      <c r="P131" s="155">
        <f t="shared" si="17"/>
        <v>-18574</v>
      </c>
      <c r="Q131" s="155">
        <f t="shared" si="18"/>
        <v>0</v>
      </c>
    </row>
    <row r="132" spans="1:17">
      <c r="A132" s="62">
        <v>2329</v>
      </c>
      <c r="B132" s="66" t="s">
        <v>126</v>
      </c>
      <c r="C132" s="21">
        <f>VLOOKUP(A132,'Contribution Allocation_Report'!$A$9:$D$310,4,FALSE)</f>
        <v>4.4190000000000001E-4</v>
      </c>
      <c r="D132" s="11"/>
      <c r="E132" s="277">
        <f>VLOOKUP(A132,Contributions_20!$A$9:$D$308,4,FALSE)</f>
        <v>4.2709999999999997E-4</v>
      </c>
      <c r="F132" s="132"/>
      <c r="G132" s="148">
        <f t="shared" si="20"/>
        <v>71679</v>
      </c>
      <c r="H132" s="276">
        <f t="shared" si="14"/>
        <v>11986</v>
      </c>
      <c r="I132" s="129">
        <f t="shared" si="19"/>
        <v>59693</v>
      </c>
      <c r="J132" s="129"/>
      <c r="K132" s="126"/>
      <c r="L132" s="280">
        <f t="shared" si="15"/>
        <v>11987</v>
      </c>
      <c r="M132" s="280">
        <f t="shared" si="15"/>
        <v>11987</v>
      </c>
      <c r="N132" s="280">
        <f t="shared" si="15"/>
        <v>11987</v>
      </c>
      <c r="O132" s="280">
        <f t="shared" si="16"/>
        <v>11987</v>
      </c>
      <c r="P132" s="155">
        <f t="shared" si="17"/>
        <v>11745</v>
      </c>
      <c r="Q132" s="155">
        <f t="shared" si="18"/>
        <v>0</v>
      </c>
    </row>
    <row r="133" spans="1:17">
      <c r="A133" s="64">
        <v>2343</v>
      </c>
      <c r="B133" s="65" t="s">
        <v>127</v>
      </c>
      <c r="C133" s="20">
        <f>VLOOKUP(A133,'Contribution Allocation_Report'!$A$9:$D$310,4,FALSE)</f>
        <v>4.6710000000000002E-4</v>
      </c>
      <c r="D133" s="11"/>
      <c r="E133" s="277">
        <f>VLOOKUP(A133,Contributions_20!$A$9:$D$308,4,FALSE)</f>
        <v>4.3810000000000002E-4</v>
      </c>
      <c r="F133" s="132"/>
      <c r="G133" s="148">
        <f t="shared" si="20"/>
        <v>140452</v>
      </c>
      <c r="H133" s="276">
        <f t="shared" si="14"/>
        <v>23487</v>
      </c>
      <c r="I133" s="129">
        <f t="shared" si="19"/>
        <v>116965</v>
      </c>
      <c r="J133" s="129"/>
      <c r="K133" s="126"/>
      <c r="L133" s="280">
        <f t="shared" si="15"/>
        <v>23487</v>
      </c>
      <c r="M133" s="280">
        <f t="shared" si="15"/>
        <v>23487</v>
      </c>
      <c r="N133" s="280">
        <f t="shared" si="15"/>
        <v>23487</v>
      </c>
      <c r="O133" s="280">
        <f t="shared" si="16"/>
        <v>23487</v>
      </c>
      <c r="P133" s="155">
        <f t="shared" si="17"/>
        <v>23017</v>
      </c>
      <c r="Q133" s="155">
        <f t="shared" si="18"/>
        <v>0</v>
      </c>
    </row>
    <row r="134" spans="1:17">
      <c r="A134" s="62">
        <v>17425</v>
      </c>
      <c r="B134" s="66" t="s">
        <v>128</v>
      </c>
      <c r="C134" s="21">
        <f>VLOOKUP(A134,'Contribution Allocation_Report'!$A$9:$D$310,4,FALSE)</f>
        <v>5.7099999999999999E-5</v>
      </c>
      <c r="D134" s="11"/>
      <c r="E134" s="277">
        <f>VLOOKUP(A134,Contributions_20!$A$9:$D$308,4,FALSE)</f>
        <v>9.3900000000000006E-5</v>
      </c>
      <c r="F134" s="132"/>
      <c r="G134" s="148">
        <f t="shared" ref="G134:G165" si="21">ROUND((E134-C134)*$G$322,0)</f>
        <v>-178229</v>
      </c>
      <c r="H134" s="276">
        <f t="shared" si="14"/>
        <v>-29804</v>
      </c>
      <c r="I134" s="129">
        <f t="shared" si="19"/>
        <v>-148425</v>
      </c>
      <c r="J134" s="129"/>
      <c r="K134" s="126"/>
      <c r="L134" s="280">
        <f t="shared" si="15"/>
        <v>-29804</v>
      </c>
      <c r="M134" s="280">
        <f t="shared" si="15"/>
        <v>-29804</v>
      </c>
      <c r="N134" s="280">
        <f t="shared" si="15"/>
        <v>-29804</v>
      </c>
      <c r="O134" s="280">
        <f t="shared" si="16"/>
        <v>-29804</v>
      </c>
      <c r="P134" s="155">
        <f t="shared" si="17"/>
        <v>-29209</v>
      </c>
      <c r="Q134" s="155">
        <f t="shared" si="18"/>
        <v>0</v>
      </c>
    </row>
    <row r="135" spans="1:17">
      <c r="A135" s="64">
        <v>4010</v>
      </c>
      <c r="B135" s="65" t="s">
        <v>129</v>
      </c>
      <c r="C135" s="20">
        <f>VLOOKUP(A135,'Contribution Allocation_Report'!$A$9:$D$310,4,FALSE)</f>
        <v>2.5070000000000002E-4</v>
      </c>
      <c r="D135" s="11"/>
      <c r="E135" s="277">
        <f>VLOOKUP(A135,Contributions_20!$A$9:$D$308,4,FALSE)</f>
        <v>2.4429999999999998E-4</v>
      </c>
      <c r="F135" s="132"/>
      <c r="G135" s="148">
        <f t="shared" si="21"/>
        <v>30996</v>
      </c>
      <c r="H135" s="276">
        <f t="shared" ref="H135:H197" si="22">ROUND(G135/5.98,0)</f>
        <v>5183</v>
      </c>
      <c r="I135" s="129">
        <f t="shared" si="19"/>
        <v>25813</v>
      </c>
      <c r="J135" s="129"/>
      <c r="K135" s="126"/>
      <c r="L135" s="280">
        <f t="shared" ref="L135:N165" si="23">ROUND($I135/4.98,0)</f>
        <v>5183</v>
      </c>
      <c r="M135" s="280">
        <f t="shared" si="23"/>
        <v>5183</v>
      </c>
      <c r="N135" s="280">
        <f t="shared" si="23"/>
        <v>5183</v>
      </c>
      <c r="O135" s="280">
        <f t="shared" ref="O135:O197" si="24">ROUND($I135/4.98,0)</f>
        <v>5183</v>
      </c>
      <c r="P135" s="155">
        <f t="shared" ref="P135:P197" si="25">I135-SUM(L135:O135)</f>
        <v>5081</v>
      </c>
      <c r="Q135" s="155">
        <f t="shared" ref="Q135:Q196" si="26">+I135-SUM(L135:P135)</f>
        <v>0</v>
      </c>
    </row>
    <row r="136" spans="1:17">
      <c r="A136" s="62">
        <v>7023</v>
      </c>
      <c r="B136" s="66" t="s">
        <v>130</v>
      </c>
      <c r="C136" s="21">
        <f>VLOOKUP(A136,'Contribution Allocation_Report'!$A$9:$D$310,4,FALSE)</f>
        <v>3.1656299999999998E-2</v>
      </c>
      <c r="D136" s="11"/>
      <c r="E136" s="277">
        <f>VLOOKUP(A136,Contributions_20!$A$9:$D$308,4,FALSE)</f>
        <v>3.1137499999999999E-2</v>
      </c>
      <c r="F136" s="132"/>
      <c r="G136" s="148">
        <f t="shared" si="21"/>
        <v>2512636</v>
      </c>
      <c r="H136" s="276">
        <f t="shared" si="22"/>
        <v>420173</v>
      </c>
      <c r="I136" s="129">
        <f t="shared" ref="I136:I197" si="27">G136-H136</f>
        <v>2092463</v>
      </c>
      <c r="J136" s="129"/>
      <c r="K136" s="126"/>
      <c r="L136" s="280">
        <f t="shared" si="23"/>
        <v>420173</v>
      </c>
      <c r="M136" s="280">
        <f t="shared" si="23"/>
        <v>420173</v>
      </c>
      <c r="N136" s="280">
        <f t="shared" si="23"/>
        <v>420173</v>
      </c>
      <c r="O136" s="280">
        <f t="shared" si="24"/>
        <v>420173</v>
      </c>
      <c r="P136" s="155">
        <f t="shared" si="25"/>
        <v>411771</v>
      </c>
      <c r="Q136" s="155">
        <f t="shared" si="26"/>
        <v>0</v>
      </c>
    </row>
    <row r="137" spans="1:17">
      <c r="A137" s="64">
        <v>7338</v>
      </c>
      <c r="B137" s="65" t="s">
        <v>131</v>
      </c>
      <c r="C137" s="20">
        <f>VLOOKUP(A137,'Contribution Allocation_Report'!$A$9:$D$310,4,FALSE)</f>
        <v>2.9E-4</v>
      </c>
      <c r="D137" s="11"/>
      <c r="E137" s="277">
        <f>VLOOKUP(A137,Contributions_20!$A$9:$D$308,4,FALSE)</f>
        <v>2.7849999999999999E-4</v>
      </c>
      <c r="F137" s="132"/>
      <c r="G137" s="148">
        <f t="shared" si="21"/>
        <v>55696</v>
      </c>
      <c r="H137" s="276">
        <f t="shared" si="22"/>
        <v>9314</v>
      </c>
      <c r="I137" s="129">
        <f t="shared" si="27"/>
        <v>46382</v>
      </c>
      <c r="J137" s="129"/>
      <c r="K137" s="126"/>
      <c r="L137" s="280">
        <f t="shared" si="23"/>
        <v>9314</v>
      </c>
      <c r="M137" s="280">
        <f t="shared" si="23"/>
        <v>9314</v>
      </c>
      <c r="N137" s="280">
        <f t="shared" si="23"/>
        <v>9314</v>
      </c>
      <c r="O137" s="280">
        <f t="shared" si="24"/>
        <v>9314</v>
      </c>
      <c r="P137" s="155">
        <f t="shared" si="25"/>
        <v>9126</v>
      </c>
      <c r="Q137" s="155">
        <f t="shared" si="26"/>
        <v>0</v>
      </c>
    </row>
    <row r="138" spans="1:17">
      <c r="A138" s="62">
        <v>12037</v>
      </c>
      <c r="B138" s="66" t="s">
        <v>132</v>
      </c>
      <c r="C138" s="21">
        <f>VLOOKUP(A138,'Contribution Allocation_Report'!$A$9:$D$310,4,FALSE)</f>
        <v>2.0197000000000001E-3</v>
      </c>
      <c r="D138" s="11"/>
      <c r="E138" s="277">
        <f>VLOOKUP(A138,Contributions_20!$A$9:$D$308,4,FALSE)</f>
        <v>2.0371E-3</v>
      </c>
      <c r="F138" s="132"/>
      <c r="G138" s="148">
        <f t="shared" si="21"/>
        <v>-84271</v>
      </c>
      <c r="H138" s="276">
        <f t="shared" si="22"/>
        <v>-14092</v>
      </c>
      <c r="I138" s="129">
        <f t="shared" si="27"/>
        <v>-70179</v>
      </c>
      <c r="J138" s="129"/>
      <c r="K138" s="126"/>
      <c r="L138" s="280">
        <f t="shared" si="23"/>
        <v>-14092</v>
      </c>
      <c r="M138" s="280">
        <f t="shared" si="23"/>
        <v>-14092</v>
      </c>
      <c r="N138" s="280">
        <f t="shared" si="23"/>
        <v>-14092</v>
      </c>
      <c r="O138" s="280">
        <f t="shared" si="24"/>
        <v>-14092</v>
      </c>
      <c r="P138" s="155">
        <f t="shared" si="25"/>
        <v>-13811</v>
      </c>
      <c r="Q138" s="155">
        <f t="shared" si="26"/>
        <v>0</v>
      </c>
    </row>
    <row r="139" spans="1:17">
      <c r="A139" s="64">
        <v>3150</v>
      </c>
      <c r="B139" s="65" t="s">
        <v>133</v>
      </c>
      <c r="C139" s="20">
        <f>VLOOKUP(A139,'Contribution Allocation_Report'!$A$9:$D$310,4,FALSE)</f>
        <v>3.7320000000000001E-3</v>
      </c>
      <c r="D139" s="11"/>
      <c r="E139" s="277">
        <f>VLOOKUP(A139,Contributions_20!$A$9:$D$308,4,FALSE)</f>
        <v>3.8124000000000001E-3</v>
      </c>
      <c r="F139" s="132"/>
      <c r="G139" s="148">
        <f t="shared" si="21"/>
        <v>-389391</v>
      </c>
      <c r="H139" s="276">
        <f t="shared" si="22"/>
        <v>-65116</v>
      </c>
      <c r="I139" s="129">
        <f t="shared" si="27"/>
        <v>-324275</v>
      </c>
      <c r="J139" s="129"/>
      <c r="K139" s="126"/>
      <c r="L139" s="280">
        <f t="shared" si="23"/>
        <v>-65115</v>
      </c>
      <c r="M139" s="280">
        <f t="shared" si="23"/>
        <v>-65115</v>
      </c>
      <c r="N139" s="280">
        <f t="shared" si="23"/>
        <v>-65115</v>
      </c>
      <c r="O139" s="280">
        <f t="shared" si="24"/>
        <v>-65115</v>
      </c>
      <c r="P139" s="155">
        <f t="shared" si="25"/>
        <v>-63815</v>
      </c>
      <c r="Q139" s="155">
        <f t="shared" si="26"/>
        <v>0</v>
      </c>
    </row>
    <row r="140" spans="1:17">
      <c r="A140" s="62">
        <v>3160</v>
      </c>
      <c r="B140" s="66" t="s">
        <v>134</v>
      </c>
      <c r="C140" s="21">
        <f>VLOOKUP(A140,'Contribution Allocation_Report'!$A$9:$D$310,4,FALSE)</f>
        <v>9.4640000000000002E-4</v>
      </c>
      <c r="D140" s="11"/>
      <c r="E140" s="277">
        <f>VLOOKUP(A140,Contributions_20!$A$9:$D$308,4,FALSE)</f>
        <v>9.5399999999999999E-4</v>
      </c>
      <c r="F140" s="132"/>
      <c r="G140" s="148">
        <f t="shared" si="21"/>
        <v>-36808</v>
      </c>
      <c r="H140" s="276">
        <f t="shared" si="22"/>
        <v>-6155</v>
      </c>
      <c r="I140" s="129">
        <f t="shared" si="27"/>
        <v>-30653</v>
      </c>
      <c r="J140" s="129"/>
      <c r="K140" s="126"/>
      <c r="L140" s="280">
        <f t="shared" si="23"/>
        <v>-6155</v>
      </c>
      <c r="M140" s="280">
        <f t="shared" si="23"/>
        <v>-6155</v>
      </c>
      <c r="N140" s="280">
        <f t="shared" si="23"/>
        <v>-6155</v>
      </c>
      <c r="O140" s="280">
        <f t="shared" si="24"/>
        <v>-6155</v>
      </c>
      <c r="P140" s="155">
        <f t="shared" si="25"/>
        <v>-6033</v>
      </c>
      <c r="Q140" s="155">
        <f t="shared" si="26"/>
        <v>0</v>
      </c>
    </row>
    <row r="141" spans="1:17">
      <c r="A141" s="62">
        <v>10120</v>
      </c>
      <c r="B141" s="66" t="s">
        <v>136</v>
      </c>
      <c r="C141" s="21">
        <f>VLOOKUP(A141,'Contribution Allocation_Report'!$A$9:$D$310,4,FALSE)</f>
        <v>4.6789999999999999E-4</v>
      </c>
      <c r="D141" s="11"/>
      <c r="E141" s="277">
        <f>VLOOKUP(A141,Contributions_20!$A$9:$D$308,4,FALSE)</f>
        <v>4.6710000000000002E-4</v>
      </c>
      <c r="F141" s="132"/>
      <c r="G141" s="148">
        <f t="shared" si="21"/>
        <v>3875</v>
      </c>
      <c r="H141" s="276">
        <f t="shared" si="22"/>
        <v>648</v>
      </c>
      <c r="I141" s="129">
        <f t="shared" si="27"/>
        <v>3227</v>
      </c>
      <c r="J141" s="129"/>
      <c r="K141" s="126"/>
      <c r="L141" s="280">
        <f t="shared" si="23"/>
        <v>648</v>
      </c>
      <c r="M141" s="280">
        <f t="shared" si="23"/>
        <v>648</v>
      </c>
      <c r="N141" s="280">
        <f t="shared" si="23"/>
        <v>648</v>
      </c>
      <c r="O141" s="280">
        <f t="shared" si="24"/>
        <v>648</v>
      </c>
      <c r="P141" s="155">
        <f t="shared" si="25"/>
        <v>635</v>
      </c>
      <c r="Q141" s="155">
        <f t="shared" si="26"/>
        <v>0</v>
      </c>
    </row>
    <row r="142" spans="1:17">
      <c r="A142" s="64">
        <v>23070</v>
      </c>
      <c r="B142" s="65" t="s">
        <v>137</v>
      </c>
      <c r="C142" s="20">
        <f>VLOOKUP(A142,'Contribution Allocation_Report'!$A$9:$D$310,4,FALSE)</f>
        <v>7.8470000000000005E-4</v>
      </c>
      <c r="D142" s="11"/>
      <c r="E142" s="277">
        <f>VLOOKUP(A142,Contributions_20!$A$9:$D$308,4,FALSE)</f>
        <v>7.8859999999999998E-4</v>
      </c>
      <c r="F142" s="132"/>
      <c r="G142" s="148">
        <f t="shared" si="21"/>
        <v>-18888</v>
      </c>
      <c r="H142" s="276">
        <f t="shared" si="22"/>
        <v>-3159</v>
      </c>
      <c r="I142" s="129">
        <f t="shared" si="27"/>
        <v>-15729</v>
      </c>
      <c r="J142" s="129"/>
      <c r="K142" s="126"/>
      <c r="L142" s="280">
        <f t="shared" si="23"/>
        <v>-3158</v>
      </c>
      <c r="M142" s="280">
        <f t="shared" si="23"/>
        <v>-3158</v>
      </c>
      <c r="N142" s="280">
        <f t="shared" si="23"/>
        <v>-3158</v>
      </c>
      <c r="O142" s="280">
        <f t="shared" si="24"/>
        <v>-3158</v>
      </c>
      <c r="P142" s="155">
        <f t="shared" si="25"/>
        <v>-3097</v>
      </c>
      <c r="Q142" s="155">
        <f t="shared" si="26"/>
        <v>0</v>
      </c>
    </row>
    <row r="143" spans="1:17">
      <c r="A143" s="62">
        <v>3170</v>
      </c>
      <c r="B143" s="66" t="s">
        <v>138</v>
      </c>
      <c r="C143" s="21">
        <f>VLOOKUP(A143,'Contribution Allocation_Report'!$A$9:$D$310,4,FALSE)</f>
        <v>9.4456000000000002E-3</v>
      </c>
      <c r="D143" s="11"/>
      <c r="E143" s="277">
        <f>VLOOKUP(A143,Contributions_20!$A$9:$D$308,4,FALSE)</f>
        <v>9.0779999999999993E-3</v>
      </c>
      <c r="F143" s="132"/>
      <c r="G143" s="148">
        <f t="shared" si="21"/>
        <v>1780349</v>
      </c>
      <c r="H143" s="276">
        <f t="shared" si="22"/>
        <v>297717</v>
      </c>
      <c r="I143" s="129">
        <f t="shared" si="27"/>
        <v>1482632</v>
      </c>
      <c r="J143" s="129"/>
      <c r="K143" s="126"/>
      <c r="L143" s="280">
        <f t="shared" si="23"/>
        <v>297717</v>
      </c>
      <c r="M143" s="280">
        <f t="shared" si="23"/>
        <v>297717</v>
      </c>
      <c r="N143" s="280">
        <f t="shared" si="23"/>
        <v>297717</v>
      </c>
      <c r="O143" s="280">
        <f t="shared" si="24"/>
        <v>297717</v>
      </c>
      <c r="P143" s="155">
        <f t="shared" si="25"/>
        <v>291764</v>
      </c>
      <c r="Q143" s="155">
        <f t="shared" si="26"/>
        <v>0</v>
      </c>
    </row>
    <row r="144" spans="1:17">
      <c r="A144" s="64">
        <v>32093</v>
      </c>
      <c r="B144" s="65" t="s">
        <v>139</v>
      </c>
      <c r="C144" s="20">
        <f>VLOOKUP(A144,'Contribution Allocation_Report'!$A$9:$D$310,4,FALSE)</f>
        <v>6.0689000000000003E-3</v>
      </c>
      <c r="D144" s="11"/>
      <c r="E144" s="277">
        <f>VLOOKUP(A144,Contributions_20!$A$9:$D$308,4,FALSE)</f>
        <v>5.9531000000000002E-3</v>
      </c>
      <c r="F144" s="132"/>
      <c r="G144" s="148">
        <f t="shared" si="21"/>
        <v>560839</v>
      </c>
      <c r="H144" s="276">
        <f t="shared" si="22"/>
        <v>93786</v>
      </c>
      <c r="I144" s="129">
        <f t="shared" si="27"/>
        <v>467053</v>
      </c>
      <c r="J144" s="129"/>
      <c r="K144" s="126"/>
      <c r="L144" s="280">
        <f t="shared" si="23"/>
        <v>93786</v>
      </c>
      <c r="M144" s="280">
        <f t="shared" si="23"/>
        <v>93786</v>
      </c>
      <c r="N144" s="280">
        <f t="shared" si="23"/>
        <v>93786</v>
      </c>
      <c r="O144" s="280">
        <f t="shared" si="24"/>
        <v>93786</v>
      </c>
      <c r="P144" s="155">
        <f t="shared" si="25"/>
        <v>91909</v>
      </c>
      <c r="Q144" s="155">
        <f t="shared" si="26"/>
        <v>0</v>
      </c>
    </row>
    <row r="145" spans="1:17">
      <c r="A145" s="62">
        <v>14045</v>
      </c>
      <c r="B145" s="66" t="s">
        <v>140</v>
      </c>
      <c r="C145" s="21">
        <f>VLOOKUP(A145,'Contribution Allocation_Report'!$A$9:$D$310,4,FALSE)</f>
        <v>1.04799E-2</v>
      </c>
      <c r="D145" s="11"/>
      <c r="E145" s="277">
        <f>VLOOKUP(A145,Contributions_20!$A$9:$D$308,4,FALSE)</f>
        <v>1.04668E-2</v>
      </c>
      <c r="F145" s="132"/>
      <c r="G145" s="148">
        <f t="shared" si="21"/>
        <v>63446</v>
      </c>
      <c r="H145" s="276">
        <f t="shared" si="22"/>
        <v>10610</v>
      </c>
      <c r="I145" s="129">
        <f t="shared" si="27"/>
        <v>52836</v>
      </c>
      <c r="J145" s="129"/>
      <c r="K145" s="126"/>
      <c r="L145" s="280">
        <f t="shared" si="23"/>
        <v>10610</v>
      </c>
      <c r="M145" s="280">
        <f t="shared" si="23"/>
        <v>10610</v>
      </c>
      <c r="N145" s="280">
        <f t="shared" si="23"/>
        <v>10610</v>
      </c>
      <c r="O145" s="280">
        <f t="shared" si="24"/>
        <v>10610</v>
      </c>
      <c r="P145" s="155">
        <f t="shared" si="25"/>
        <v>10396</v>
      </c>
      <c r="Q145" s="155">
        <f t="shared" si="26"/>
        <v>0</v>
      </c>
    </row>
    <row r="146" spans="1:17">
      <c r="A146" s="64">
        <v>2322</v>
      </c>
      <c r="B146" s="65" t="s">
        <v>141</v>
      </c>
      <c r="C146" s="20">
        <f>VLOOKUP(A146,'Contribution Allocation_Report'!$A$9:$D$310,4,FALSE)</f>
        <v>2.4030000000000001E-4</v>
      </c>
      <c r="D146" s="11"/>
      <c r="E146" s="277">
        <f>VLOOKUP(A146,Contributions_20!$A$9:$D$308,4,FALSE)</f>
        <v>2.4899999999999998E-4</v>
      </c>
      <c r="F146" s="132"/>
      <c r="G146" s="148">
        <f t="shared" si="21"/>
        <v>-42136</v>
      </c>
      <c r="H146" s="276">
        <f t="shared" si="22"/>
        <v>-7046</v>
      </c>
      <c r="I146" s="129">
        <f t="shared" si="27"/>
        <v>-35090</v>
      </c>
      <c r="J146" s="129"/>
      <c r="K146" s="126"/>
      <c r="L146" s="280">
        <f t="shared" si="23"/>
        <v>-7046</v>
      </c>
      <c r="M146" s="280">
        <f t="shared" si="23"/>
        <v>-7046</v>
      </c>
      <c r="N146" s="280">
        <f t="shared" si="23"/>
        <v>-7046</v>
      </c>
      <c r="O146" s="280">
        <f t="shared" si="24"/>
        <v>-7046</v>
      </c>
      <c r="P146" s="155">
        <f t="shared" si="25"/>
        <v>-6906</v>
      </c>
      <c r="Q146" s="155">
        <f t="shared" si="26"/>
        <v>0</v>
      </c>
    </row>
    <row r="147" spans="1:17">
      <c r="A147" s="62">
        <v>3006</v>
      </c>
      <c r="B147" s="66" t="s">
        <v>142</v>
      </c>
      <c r="C147" s="21">
        <f>VLOOKUP(A147,'Contribution Allocation_Report'!$A$9:$D$310,4,FALSE)</f>
        <v>9.0249999999999998E-4</v>
      </c>
      <c r="D147" s="11"/>
      <c r="E147" s="277">
        <f>VLOOKUP(A147,Contributions_20!$A$9:$D$308,4,FALSE)</f>
        <v>7.9909999999999996E-4</v>
      </c>
      <c r="F147" s="132"/>
      <c r="G147" s="148">
        <f t="shared" si="21"/>
        <v>500784</v>
      </c>
      <c r="H147" s="276">
        <f t="shared" si="22"/>
        <v>83743</v>
      </c>
      <c r="I147" s="129">
        <f t="shared" si="27"/>
        <v>417041</v>
      </c>
      <c r="J147" s="129"/>
      <c r="K147" s="126"/>
      <c r="L147" s="280">
        <f t="shared" si="23"/>
        <v>83743</v>
      </c>
      <c r="M147" s="280">
        <f t="shared" si="23"/>
        <v>83743</v>
      </c>
      <c r="N147" s="280">
        <f t="shared" si="23"/>
        <v>83743</v>
      </c>
      <c r="O147" s="280">
        <f t="shared" si="24"/>
        <v>83743</v>
      </c>
      <c r="P147" s="155">
        <f t="shared" si="25"/>
        <v>82069</v>
      </c>
      <c r="Q147" s="155">
        <f t="shared" si="26"/>
        <v>0</v>
      </c>
    </row>
    <row r="148" spans="1:17">
      <c r="A148" s="64">
        <v>6019</v>
      </c>
      <c r="B148" s="65" t="s">
        <v>143</v>
      </c>
      <c r="C148" s="20">
        <f>VLOOKUP(A148,'Contribution Allocation_Report'!$A$9:$D$310,4,FALSE)</f>
        <v>4.6480999999999996E-3</v>
      </c>
      <c r="D148" s="11"/>
      <c r="E148" s="277">
        <f>VLOOKUP(A148,Contributions_20!$A$9:$D$308,4,FALSE)</f>
        <v>4.4783999999999996E-3</v>
      </c>
      <c r="F148" s="132"/>
      <c r="G148" s="148">
        <f t="shared" si="21"/>
        <v>821886</v>
      </c>
      <c r="H148" s="276">
        <f t="shared" si="22"/>
        <v>137439</v>
      </c>
      <c r="I148" s="129">
        <f t="shared" si="27"/>
        <v>684447</v>
      </c>
      <c r="J148" s="129"/>
      <c r="K148" s="126"/>
      <c r="L148" s="280">
        <f t="shared" si="23"/>
        <v>137439</v>
      </c>
      <c r="M148" s="280">
        <f t="shared" si="23"/>
        <v>137439</v>
      </c>
      <c r="N148" s="280">
        <f t="shared" si="23"/>
        <v>137439</v>
      </c>
      <c r="O148" s="280">
        <f t="shared" si="24"/>
        <v>137439</v>
      </c>
      <c r="P148" s="155">
        <f t="shared" si="25"/>
        <v>134691</v>
      </c>
      <c r="Q148" s="155">
        <f t="shared" si="26"/>
        <v>0</v>
      </c>
    </row>
    <row r="149" spans="1:17">
      <c r="A149" s="62">
        <v>12128</v>
      </c>
      <c r="B149" s="66" t="s">
        <v>144</v>
      </c>
      <c r="C149" s="21">
        <f>VLOOKUP(A149,'Contribution Allocation_Report'!$A$9:$D$310,4,FALSE)</f>
        <v>1.1761E-3</v>
      </c>
      <c r="D149" s="11"/>
      <c r="E149" s="277">
        <f>VLOOKUP(A149,Contributions_20!$A$9:$D$308,4,FALSE)</f>
        <v>1.2545E-3</v>
      </c>
      <c r="F149" s="132"/>
      <c r="G149" s="148">
        <f t="shared" si="21"/>
        <v>-379704</v>
      </c>
      <c r="H149" s="276">
        <f t="shared" si="22"/>
        <v>-63496</v>
      </c>
      <c r="I149" s="129">
        <f t="shared" si="27"/>
        <v>-316208</v>
      </c>
      <c r="J149" s="129"/>
      <c r="K149" s="126"/>
      <c r="L149" s="280">
        <f t="shared" si="23"/>
        <v>-63496</v>
      </c>
      <c r="M149" s="280">
        <f t="shared" si="23"/>
        <v>-63496</v>
      </c>
      <c r="N149" s="280">
        <f t="shared" si="23"/>
        <v>-63496</v>
      </c>
      <c r="O149" s="280">
        <f t="shared" si="24"/>
        <v>-63496</v>
      </c>
      <c r="P149" s="155">
        <f t="shared" si="25"/>
        <v>-62224</v>
      </c>
      <c r="Q149" s="155">
        <f t="shared" si="26"/>
        <v>0</v>
      </c>
    </row>
    <row r="150" spans="1:17">
      <c r="A150" s="64">
        <v>3180</v>
      </c>
      <c r="B150" s="65" t="s">
        <v>145</v>
      </c>
      <c r="C150" s="20">
        <f>VLOOKUP(A150,'Contribution Allocation_Report'!$A$9:$D$310,4,FALSE)</f>
        <v>1.7776999999999999E-3</v>
      </c>
      <c r="D150" s="11"/>
      <c r="E150" s="277">
        <f>VLOOKUP(A150,Contributions_20!$A$9:$D$308,4,FALSE)</f>
        <v>1.8419E-3</v>
      </c>
      <c r="F150" s="132"/>
      <c r="G150" s="148">
        <f t="shared" si="21"/>
        <v>-310931</v>
      </c>
      <c r="H150" s="276">
        <f t="shared" si="22"/>
        <v>-51995</v>
      </c>
      <c r="I150" s="129">
        <f t="shared" si="27"/>
        <v>-258936</v>
      </c>
      <c r="J150" s="129"/>
      <c r="K150" s="126"/>
      <c r="L150" s="280">
        <f t="shared" si="23"/>
        <v>-51995</v>
      </c>
      <c r="M150" s="280">
        <f t="shared" si="23"/>
        <v>-51995</v>
      </c>
      <c r="N150" s="280">
        <f t="shared" si="23"/>
        <v>-51995</v>
      </c>
      <c r="O150" s="280">
        <f t="shared" si="24"/>
        <v>-51995</v>
      </c>
      <c r="P150" s="155">
        <f t="shared" si="25"/>
        <v>-50956</v>
      </c>
      <c r="Q150" s="155">
        <f t="shared" si="26"/>
        <v>0</v>
      </c>
    </row>
    <row r="151" spans="1:17">
      <c r="A151" s="62">
        <v>25075</v>
      </c>
      <c r="B151" s="66" t="s">
        <v>146</v>
      </c>
      <c r="C151" s="21">
        <f>VLOOKUP(A151,'Contribution Allocation_Report'!$A$9:$D$310,4,FALSE)</f>
        <v>7.2440000000000004E-4</v>
      </c>
      <c r="D151" s="11"/>
      <c r="E151" s="277">
        <f>VLOOKUP(A151,Contributions_20!$A$9:$D$308,4,FALSE)</f>
        <v>6.935E-4</v>
      </c>
      <c r="F151" s="132"/>
      <c r="G151" s="148">
        <f t="shared" si="21"/>
        <v>149654</v>
      </c>
      <c r="H151" s="276">
        <f t="shared" si="22"/>
        <v>25026</v>
      </c>
      <c r="I151" s="129">
        <f t="shared" si="27"/>
        <v>124628</v>
      </c>
      <c r="J151" s="129"/>
      <c r="K151" s="126"/>
      <c r="L151" s="280">
        <f t="shared" si="23"/>
        <v>25026</v>
      </c>
      <c r="M151" s="280">
        <f t="shared" si="23"/>
        <v>25026</v>
      </c>
      <c r="N151" s="280">
        <f t="shared" si="23"/>
        <v>25026</v>
      </c>
      <c r="O151" s="280">
        <f t="shared" si="24"/>
        <v>25026</v>
      </c>
      <c r="P151" s="155">
        <f t="shared" si="25"/>
        <v>24524</v>
      </c>
      <c r="Q151" s="155">
        <f t="shared" si="26"/>
        <v>0</v>
      </c>
    </row>
    <row r="152" spans="1:17">
      <c r="A152" s="64">
        <v>9028</v>
      </c>
      <c r="B152" s="65" t="s">
        <v>147</v>
      </c>
      <c r="C152" s="20">
        <f>VLOOKUP(A152,'Contribution Allocation_Report'!$A$9:$D$310,4,FALSE)</f>
        <v>2.8650000000000003E-4</v>
      </c>
      <c r="D152" s="11"/>
      <c r="E152" s="277">
        <f>VLOOKUP(A152,Contributions_20!$A$9:$D$308,4,FALSE)</f>
        <v>3.032E-4</v>
      </c>
      <c r="F152" s="132"/>
      <c r="G152" s="148">
        <f t="shared" si="21"/>
        <v>-80881</v>
      </c>
      <c r="H152" s="276">
        <f t="shared" si="22"/>
        <v>-13525</v>
      </c>
      <c r="I152" s="129">
        <f t="shared" si="27"/>
        <v>-67356</v>
      </c>
      <c r="J152" s="129"/>
      <c r="K152" s="126"/>
      <c r="L152" s="280">
        <f t="shared" si="23"/>
        <v>-13525</v>
      </c>
      <c r="M152" s="280">
        <f t="shared" si="23"/>
        <v>-13525</v>
      </c>
      <c r="N152" s="280">
        <f t="shared" si="23"/>
        <v>-13525</v>
      </c>
      <c r="O152" s="280">
        <f t="shared" si="24"/>
        <v>-13525</v>
      </c>
      <c r="P152" s="155">
        <f t="shared" si="25"/>
        <v>-13256</v>
      </c>
      <c r="Q152" s="155">
        <f t="shared" si="26"/>
        <v>0</v>
      </c>
    </row>
    <row r="153" spans="1:17">
      <c r="A153" s="62">
        <v>17424</v>
      </c>
      <c r="B153" s="66" t="s">
        <v>148</v>
      </c>
      <c r="C153" s="21">
        <f>VLOOKUP(A153,'Contribution Allocation_Report'!$A$9:$D$310,4,FALSE)</f>
        <v>5.1630000000000003E-4</v>
      </c>
      <c r="D153" s="11"/>
      <c r="E153" s="277">
        <f>VLOOKUP(A153,Contributions_20!$A$9:$D$308,4,FALSE)</f>
        <v>5.0489999999999997E-4</v>
      </c>
      <c r="F153" s="132"/>
      <c r="G153" s="148">
        <f t="shared" si="21"/>
        <v>55212</v>
      </c>
      <c r="H153" s="276">
        <f t="shared" si="22"/>
        <v>9233</v>
      </c>
      <c r="I153" s="129">
        <f t="shared" si="27"/>
        <v>45979</v>
      </c>
      <c r="J153" s="129"/>
      <c r="K153" s="126"/>
      <c r="L153" s="280">
        <f t="shared" si="23"/>
        <v>9233</v>
      </c>
      <c r="M153" s="280">
        <f t="shared" si="23"/>
        <v>9233</v>
      </c>
      <c r="N153" s="280">
        <f t="shared" si="23"/>
        <v>9233</v>
      </c>
      <c r="O153" s="280">
        <f t="shared" si="24"/>
        <v>9233</v>
      </c>
      <c r="P153" s="155">
        <f t="shared" si="25"/>
        <v>9047</v>
      </c>
      <c r="Q153" s="155">
        <f t="shared" si="26"/>
        <v>0</v>
      </c>
    </row>
    <row r="154" spans="1:17">
      <c r="A154" s="127">
        <v>3200</v>
      </c>
      <c r="B154" s="128" t="s">
        <v>149</v>
      </c>
      <c r="C154" s="20">
        <f>VLOOKUP(A154,'Contribution Allocation_Report'!$A$9:$D$310,4,FALSE)</f>
        <v>2.0666999999999999E-3</v>
      </c>
      <c r="D154" s="11"/>
      <c r="E154" s="277">
        <f>VLOOKUP(A154,Contributions_20!$A$9:$D$308,4,FALSE)</f>
        <v>2.0864999999999998E-3</v>
      </c>
      <c r="F154" s="132"/>
      <c r="G154" s="148">
        <f t="shared" si="21"/>
        <v>-95895</v>
      </c>
      <c r="H154" s="276">
        <f t="shared" si="22"/>
        <v>-16036</v>
      </c>
      <c r="I154" s="129">
        <f t="shared" si="27"/>
        <v>-79859</v>
      </c>
      <c r="J154" s="129"/>
      <c r="K154" s="126"/>
      <c r="L154" s="280">
        <f t="shared" si="23"/>
        <v>-16036</v>
      </c>
      <c r="M154" s="280">
        <f t="shared" si="23"/>
        <v>-16036</v>
      </c>
      <c r="N154" s="280">
        <f t="shared" si="23"/>
        <v>-16036</v>
      </c>
      <c r="O154" s="280">
        <f t="shared" si="24"/>
        <v>-16036</v>
      </c>
      <c r="P154" s="155">
        <f t="shared" si="25"/>
        <v>-15715</v>
      </c>
      <c r="Q154" s="155">
        <f t="shared" si="26"/>
        <v>0</v>
      </c>
    </row>
    <row r="155" spans="1:17">
      <c r="A155" s="62">
        <v>2365</v>
      </c>
      <c r="B155" s="66" t="s">
        <v>150</v>
      </c>
      <c r="C155" s="21">
        <f>VLOOKUP(A155,'Contribution Allocation_Report'!$A$9:$D$310,4,FALSE)</f>
        <v>3.3129999999999998E-4</v>
      </c>
      <c r="D155" s="11"/>
      <c r="E155" s="277">
        <f>VLOOKUP(A155,Contributions_20!$A$9:$D$308,4,FALSE)</f>
        <v>3.6210000000000002E-4</v>
      </c>
      <c r="F155" s="132"/>
      <c r="G155" s="148">
        <f t="shared" si="21"/>
        <v>-149170</v>
      </c>
      <c r="H155" s="276">
        <f t="shared" si="22"/>
        <v>-24945</v>
      </c>
      <c r="I155" s="129">
        <f t="shared" si="27"/>
        <v>-124225</v>
      </c>
      <c r="J155" s="129"/>
      <c r="K155" s="126"/>
      <c r="L155" s="280">
        <f t="shared" si="23"/>
        <v>-24945</v>
      </c>
      <c r="M155" s="280">
        <f t="shared" si="23"/>
        <v>-24945</v>
      </c>
      <c r="N155" s="280">
        <f t="shared" si="23"/>
        <v>-24945</v>
      </c>
      <c r="O155" s="280">
        <f t="shared" si="24"/>
        <v>-24945</v>
      </c>
      <c r="P155" s="155">
        <f t="shared" si="25"/>
        <v>-24445</v>
      </c>
      <c r="Q155" s="155">
        <f t="shared" si="26"/>
        <v>0</v>
      </c>
    </row>
    <row r="156" spans="1:17">
      <c r="A156" s="64">
        <v>5014</v>
      </c>
      <c r="B156" s="65" t="s">
        <v>151</v>
      </c>
      <c r="C156" s="20">
        <f>VLOOKUP(A156,'Contribution Allocation_Report'!$A$9:$D$310,4,FALSE)</f>
        <v>3.946E-4</v>
      </c>
      <c r="D156" s="11"/>
      <c r="E156" s="277">
        <f>VLOOKUP(A156,Contributions_20!$A$9:$D$308,4,FALSE)</f>
        <v>4.0279999999999998E-4</v>
      </c>
      <c r="F156" s="132"/>
      <c r="G156" s="148">
        <f t="shared" si="21"/>
        <v>-39714</v>
      </c>
      <c r="H156" s="276">
        <f t="shared" si="22"/>
        <v>-6641</v>
      </c>
      <c r="I156" s="129">
        <f t="shared" si="27"/>
        <v>-33073</v>
      </c>
      <c r="J156" s="129"/>
      <c r="K156" s="126"/>
      <c r="L156" s="280">
        <f t="shared" si="23"/>
        <v>-6641</v>
      </c>
      <c r="M156" s="280">
        <f t="shared" si="23"/>
        <v>-6641</v>
      </c>
      <c r="N156" s="280">
        <f t="shared" si="23"/>
        <v>-6641</v>
      </c>
      <c r="O156" s="280">
        <f t="shared" si="24"/>
        <v>-6641</v>
      </c>
      <c r="P156" s="155">
        <f t="shared" si="25"/>
        <v>-6509</v>
      </c>
      <c r="Q156" s="155">
        <f t="shared" si="26"/>
        <v>0</v>
      </c>
    </row>
    <row r="157" spans="1:17">
      <c r="A157" s="62">
        <v>17127</v>
      </c>
      <c r="B157" s="66" t="s">
        <v>152</v>
      </c>
      <c r="C157" s="21">
        <f>VLOOKUP(A157,'Contribution Allocation_Report'!$A$9:$D$310,4,FALSE)</f>
        <v>4.1950000000000001E-4</v>
      </c>
      <c r="D157" s="11"/>
      <c r="E157" s="277">
        <f>VLOOKUP(A157,Contributions_20!$A$9:$D$308,4,FALSE)</f>
        <v>4.6359999999999999E-4</v>
      </c>
      <c r="F157" s="132"/>
      <c r="G157" s="148">
        <f t="shared" si="21"/>
        <v>-213584</v>
      </c>
      <c r="H157" s="276">
        <f t="shared" si="22"/>
        <v>-35716</v>
      </c>
      <c r="I157" s="129">
        <f t="shared" si="27"/>
        <v>-177868</v>
      </c>
      <c r="J157" s="129"/>
      <c r="K157" s="126"/>
      <c r="L157" s="280">
        <f t="shared" si="23"/>
        <v>-35716</v>
      </c>
      <c r="M157" s="280">
        <f t="shared" si="23"/>
        <v>-35716</v>
      </c>
      <c r="N157" s="280">
        <f t="shared" si="23"/>
        <v>-35716</v>
      </c>
      <c r="O157" s="280">
        <f t="shared" si="24"/>
        <v>-35716</v>
      </c>
      <c r="P157" s="155">
        <f t="shared" si="25"/>
        <v>-35004</v>
      </c>
      <c r="Q157" s="155">
        <f t="shared" si="26"/>
        <v>0</v>
      </c>
    </row>
    <row r="158" spans="1:17">
      <c r="A158" s="64">
        <v>10141</v>
      </c>
      <c r="B158" s="65" t="s">
        <v>153</v>
      </c>
      <c r="C158" s="20">
        <f>VLOOKUP(A158,'Contribution Allocation_Report'!$A$9:$D$310,4,FALSE)</f>
        <v>6.1939999999999999E-4</v>
      </c>
      <c r="D158" s="11"/>
      <c r="E158" s="277">
        <f>VLOOKUP(A158,Contributions_20!$A$9:$D$308,4,FALSE)</f>
        <v>6.5249999999999998E-4</v>
      </c>
      <c r="F158" s="132"/>
      <c r="G158" s="148">
        <f t="shared" si="21"/>
        <v>-160309</v>
      </c>
      <c r="H158" s="276">
        <f t="shared" si="22"/>
        <v>-26808</v>
      </c>
      <c r="I158" s="129">
        <f t="shared" si="27"/>
        <v>-133501</v>
      </c>
      <c r="J158" s="129"/>
      <c r="K158" s="126"/>
      <c r="L158" s="280">
        <f t="shared" si="23"/>
        <v>-26807</v>
      </c>
      <c r="M158" s="280">
        <f t="shared" si="23"/>
        <v>-26807</v>
      </c>
      <c r="N158" s="280">
        <f t="shared" si="23"/>
        <v>-26807</v>
      </c>
      <c r="O158" s="280">
        <f t="shared" si="24"/>
        <v>-26807</v>
      </c>
      <c r="P158" s="155">
        <f t="shared" si="25"/>
        <v>-26273</v>
      </c>
      <c r="Q158" s="155">
        <f t="shared" si="26"/>
        <v>0</v>
      </c>
    </row>
    <row r="159" spans="1:17">
      <c r="A159" s="62">
        <v>4570</v>
      </c>
      <c r="B159" s="66" t="s">
        <v>413</v>
      </c>
      <c r="C159" s="21">
        <f>VLOOKUP(A159,'Contribution Allocation_Report'!$A$9:$D$310,4,FALSE)</f>
        <v>1.469E-3</v>
      </c>
      <c r="D159" s="11"/>
      <c r="E159" s="277">
        <f>VLOOKUP(A159,Contributions_20!$A$9:$D$308,4,FALSE)</f>
        <v>1.3986000000000001E-3</v>
      </c>
      <c r="F159" s="132"/>
      <c r="G159" s="148">
        <f t="shared" si="21"/>
        <v>340959</v>
      </c>
      <c r="H159" s="276">
        <f t="shared" si="22"/>
        <v>57017</v>
      </c>
      <c r="I159" s="129">
        <f t="shared" si="27"/>
        <v>283942</v>
      </c>
      <c r="J159" s="129"/>
      <c r="K159" s="126"/>
      <c r="L159" s="280">
        <f t="shared" si="23"/>
        <v>57016</v>
      </c>
      <c r="M159" s="280">
        <f t="shared" si="23"/>
        <v>57016</v>
      </c>
      <c r="N159" s="280">
        <f t="shared" si="23"/>
        <v>57016</v>
      </c>
      <c r="O159" s="280">
        <f t="shared" si="24"/>
        <v>57016</v>
      </c>
      <c r="P159" s="155">
        <f t="shared" si="25"/>
        <v>55878</v>
      </c>
      <c r="Q159" s="155">
        <f t="shared" si="26"/>
        <v>0</v>
      </c>
    </row>
    <row r="160" spans="1:17">
      <c r="A160" s="64">
        <v>13369</v>
      </c>
      <c r="B160" s="65" t="s">
        <v>154</v>
      </c>
      <c r="C160" s="20">
        <f>VLOOKUP(A160,'Contribution Allocation_Report'!$A$9:$D$310,4,FALSE)</f>
        <v>1.3310000000000001E-4</v>
      </c>
      <c r="D160" s="11"/>
      <c r="E160" s="277">
        <f>VLOOKUP(A160,Contributions_20!$A$9:$D$308,4,FALSE)</f>
        <v>1.5029999999999999E-4</v>
      </c>
      <c r="F160" s="132"/>
      <c r="G160" s="148">
        <f t="shared" si="21"/>
        <v>-83303</v>
      </c>
      <c r="H160" s="276">
        <f t="shared" si="22"/>
        <v>-13930</v>
      </c>
      <c r="I160" s="129">
        <f t="shared" si="27"/>
        <v>-69373</v>
      </c>
      <c r="J160" s="129"/>
      <c r="K160" s="126"/>
      <c r="L160" s="280">
        <f t="shared" si="23"/>
        <v>-13930</v>
      </c>
      <c r="M160" s="280">
        <f t="shared" si="23"/>
        <v>-13930</v>
      </c>
      <c r="N160" s="280">
        <f t="shared" si="23"/>
        <v>-13930</v>
      </c>
      <c r="O160" s="280">
        <f t="shared" si="24"/>
        <v>-13930</v>
      </c>
      <c r="P160" s="155">
        <f t="shared" si="25"/>
        <v>-13653</v>
      </c>
      <c r="Q160" s="155">
        <f t="shared" si="26"/>
        <v>0</v>
      </c>
    </row>
    <row r="161" spans="1:17">
      <c r="A161" s="62">
        <v>2425</v>
      </c>
      <c r="B161" s="66" t="s">
        <v>155</v>
      </c>
      <c r="C161" s="21">
        <f>VLOOKUP(A161,'Contribution Allocation_Report'!$A$9:$D$310,4,FALSE)</f>
        <v>1.7424000000000001E-3</v>
      </c>
      <c r="D161" s="11"/>
      <c r="E161" s="277">
        <f>VLOOKUP(A161,Contributions_20!$A$9:$D$308,4,FALSE)</f>
        <v>1.4215E-3</v>
      </c>
      <c r="F161" s="132"/>
      <c r="G161" s="148">
        <f t="shared" si="21"/>
        <v>1554173</v>
      </c>
      <c r="H161" s="276">
        <f t="shared" si="22"/>
        <v>259895</v>
      </c>
      <c r="I161" s="129">
        <f t="shared" si="27"/>
        <v>1294278</v>
      </c>
      <c r="J161" s="129"/>
      <c r="K161" s="126"/>
      <c r="L161" s="280">
        <f t="shared" si="23"/>
        <v>259895</v>
      </c>
      <c r="M161" s="280">
        <f t="shared" si="23"/>
        <v>259895</v>
      </c>
      <c r="N161" s="280">
        <f t="shared" si="23"/>
        <v>259895</v>
      </c>
      <c r="O161" s="280">
        <f t="shared" si="24"/>
        <v>259895</v>
      </c>
      <c r="P161" s="155">
        <f t="shared" si="25"/>
        <v>254698</v>
      </c>
      <c r="Q161" s="155">
        <f t="shared" si="26"/>
        <v>0</v>
      </c>
    </row>
    <row r="162" spans="1:17">
      <c r="A162" s="64">
        <v>1306</v>
      </c>
      <c r="B162" s="65" t="s">
        <v>156</v>
      </c>
      <c r="C162" s="20">
        <f>VLOOKUP(A162,'Contribution Allocation_Report'!$A$9:$D$310,4,FALSE)</f>
        <v>4.7310000000000001E-4</v>
      </c>
      <c r="D162" s="11"/>
      <c r="E162" s="277">
        <f>VLOOKUP(A162,Contributions_20!$A$9:$D$308,4,FALSE)</f>
        <v>4.5179999999999998E-4</v>
      </c>
      <c r="F162" s="132"/>
      <c r="G162" s="148">
        <f t="shared" si="21"/>
        <v>103160</v>
      </c>
      <c r="H162" s="276">
        <f t="shared" si="22"/>
        <v>17251</v>
      </c>
      <c r="I162" s="129">
        <f t="shared" si="27"/>
        <v>85909</v>
      </c>
      <c r="J162" s="129"/>
      <c r="K162" s="126"/>
      <c r="L162" s="280">
        <f t="shared" si="23"/>
        <v>17251</v>
      </c>
      <c r="M162" s="280">
        <f t="shared" si="23"/>
        <v>17251</v>
      </c>
      <c r="N162" s="280">
        <f t="shared" si="23"/>
        <v>17251</v>
      </c>
      <c r="O162" s="280">
        <f t="shared" si="24"/>
        <v>17251</v>
      </c>
      <c r="P162" s="155">
        <f t="shared" si="25"/>
        <v>16905</v>
      </c>
      <c r="Q162" s="155">
        <f t="shared" si="26"/>
        <v>0</v>
      </c>
    </row>
    <row r="163" spans="1:17">
      <c r="A163" s="62">
        <v>2351</v>
      </c>
      <c r="B163" s="66" t="s">
        <v>157</v>
      </c>
      <c r="C163" s="21">
        <f>VLOOKUP(A163,'Contribution Allocation_Report'!$A$9:$D$310,4,FALSE)</f>
        <v>3.7510000000000001E-4</v>
      </c>
      <c r="D163" s="11"/>
      <c r="E163" s="277">
        <f>VLOOKUP(A163,Contributions_20!$A$9:$D$308,4,FALSE)</f>
        <v>3.814E-4</v>
      </c>
      <c r="F163" s="132"/>
      <c r="G163" s="148">
        <f t="shared" si="21"/>
        <v>-30512</v>
      </c>
      <c r="H163" s="276">
        <f t="shared" si="22"/>
        <v>-5102</v>
      </c>
      <c r="I163" s="129">
        <f t="shared" si="27"/>
        <v>-25410</v>
      </c>
      <c r="J163" s="129"/>
      <c r="K163" s="126"/>
      <c r="L163" s="280">
        <f t="shared" si="23"/>
        <v>-5102</v>
      </c>
      <c r="M163" s="280">
        <f t="shared" si="23"/>
        <v>-5102</v>
      </c>
      <c r="N163" s="280">
        <f t="shared" si="23"/>
        <v>-5102</v>
      </c>
      <c r="O163" s="280">
        <f t="shared" si="24"/>
        <v>-5102</v>
      </c>
      <c r="P163" s="155">
        <f t="shared" si="25"/>
        <v>-5002</v>
      </c>
      <c r="Q163" s="155">
        <f t="shared" si="26"/>
        <v>0</v>
      </c>
    </row>
    <row r="164" spans="1:17">
      <c r="A164" s="64">
        <v>2334</v>
      </c>
      <c r="B164" s="65" t="s">
        <v>158</v>
      </c>
      <c r="C164" s="20">
        <f>VLOOKUP(A164,'Contribution Allocation_Report'!$A$9:$D$310,4,FALSE)</f>
        <v>2.6939999999999999E-4</v>
      </c>
      <c r="D164" s="11"/>
      <c r="E164" s="277">
        <f>VLOOKUP(A164,Contributions_20!$A$9:$D$308,4,FALSE)</f>
        <v>2.8029999999999998E-4</v>
      </c>
      <c r="F164" s="132"/>
      <c r="G164" s="148">
        <f t="shared" si="21"/>
        <v>-52791</v>
      </c>
      <c r="H164" s="276">
        <f t="shared" si="22"/>
        <v>-8828</v>
      </c>
      <c r="I164" s="129">
        <f t="shared" si="27"/>
        <v>-43963</v>
      </c>
      <c r="J164" s="129"/>
      <c r="K164" s="126"/>
      <c r="L164" s="280">
        <f t="shared" si="23"/>
        <v>-8828</v>
      </c>
      <c r="M164" s="280">
        <f t="shared" si="23"/>
        <v>-8828</v>
      </c>
      <c r="N164" s="280">
        <f t="shared" si="23"/>
        <v>-8828</v>
      </c>
      <c r="O164" s="280">
        <f t="shared" si="24"/>
        <v>-8828</v>
      </c>
      <c r="P164" s="155">
        <f t="shared" si="25"/>
        <v>-8651</v>
      </c>
      <c r="Q164" s="155">
        <f t="shared" si="26"/>
        <v>0</v>
      </c>
    </row>
    <row r="165" spans="1:17">
      <c r="A165" s="62">
        <v>30089</v>
      </c>
      <c r="B165" s="66" t="s">
        <v>159</v>
      </c>
      <c r="C165" s="21">
        <f>VLOOKUP(A165,'Contribution Allocation_Report'!$A$9:$D$310,4,FALSE)</f>
        <v>8.2140000000000002E-4</v>
      </c>
      <c r="D165" s="11"/>
      <c r="E165" s="277">
        <f>VLOOKUP(A165,Contributions_20!$A$9:$D$308,4,FALSE)</f>
        <v>8.4360000000000001E-4</v>
      </c>
      <c r="F165" s="132"/>
      <c r="G165" s="148">
        <f t="shared" si="21"/>
        <v>-107518</v>
      </c>
      <c r="H165" s="276">
        <f t="shared" si="22"/>
        <v>-17980</v>
      </c>
      <c r="I165" s="129">
        <f t="shared" si="27"/>
        <v>-89538</v>
      </c>
      <c r="J165" s="129"/>
      <c r="K165" s="126"/>
      <c r="L165" s="280">
        <f t="shared" si="23"/>
        <v>-17980</v>
      </c>
      <c r="M165" s="280">
        <f t="shared" si="23"/>
        <v>-17980</v>
      </c>
      <c r="N165" s="280">
        <f t="shared" si="23"/>
        <v>-17980</v>
      </c>
      <c r="O165" s="280">
        <f t="shared" si="24"/>
        <v>-17980</v>
      </c>
      <c r="P165" s="155">
        <f t="shared" si="25"/>
        <v>-17618</v>
      </c>
      <c r="Q165" s="155">
        <f t="shared" si="26"/>
        <v>0</v>
      </c>
    </row>
    <row r="166" spans="1:17">
      <c r="A166" s="64">
        <v>9324</v>
      </c>
      <c r="B166" s="65" t="s">
        <v>160</v>
      </c>
      <c r="C166" s="20">
        <f>VLOOKUP(A166,'Contribution Allocation_Report'!$A$9:$D$310,4,FALSE)</f>
        <v>1.187E-4</v>
      </c>
      <c r="D166" s="11"/>
      <c r="E166" s="277">
        <f>VLOOKUP(A166,Contributions_20!$A$9:$D$308,4,FALSE)</f>
        <v>1.144E-4</v>
      </c>
      <c r="F166" s="132"/>
      <c r="G166" s="148">
        <f t="shared" ref="G166:G197" si="28">ROUND((E166-C166)*$G$322,0)</f>
        <v>20826</v>
      </c>
      <c r="H166" s="276">
        <f t="shared" si="22"/>
        <v>3483</v>
      </c>
      <c r="I166" s="129">
        <f t="shared" si="27"/>
        <v>17343</v>
      </c>
      <c r="J166" s="129"/>
      <c r="K166" s="126"/>
      <c r="L166" s="280">
        <f t="shared" ref="L166:N197" si="29">ROUND($I166/4.98,0)</f>
        <v>3483</v>
      </c>
      <c r="M166" s="280">
        <f t="shared" si="29"/>
        <v>3483</v>
      </c>
      <c r="N166" s="280">
        <f t="shared" si="29"/>
        <v>3483</v>
      </c>
      <c r="O166" s="280">
        <f t="shared" si="24"/>
        <v>3483</v>
      </c>
      <c r="P166" s="155">
        <f t="shared" si="25"/>
        <v>3411</v>
      </c>
      <c r="Q166" s="155">
        <f t="shared" si="26"/>
        <v>0</v>
      </c>
    </row>
    <row r="167" spans="1:17">
      <c r="A167" s="62">
        <v>22066</v>
      </c>
      <c r="B167" s="66" t="s">
        <v>161</v>
      </c>
      <c r="C167" s="21">
        <f>VLOOKUP(A167,'Contribution Allocation_Report'!$A$9:$D$310,4,FALSE)</f>
        <v>3.1659000000000001E-3</v>
      </c>
      <c r="D167" s="11"/>
      <c r="E167" s="277">
        <f>VLOOKUP(A167,Contributions_20!$A$9:$D$308,4,FALSE)</f>
        <v>3.0517000000000001E-3</v>
      </c>
      <c r="F167" s="132"/>
      <c r="G167" s="148">
        <f t="shared" si="28"/>
        <v>553090</v>
      </c>
      <c r="H167" s="276">
        <f t="shared" si="22"/>
        <v>92490</v>
      </c>
      <c r="I167" s="129">
        <f t="shared" si="27"/>
        <v>460600</v>
      </c>
      <c r="J167" s="129"/>
      <c r="K167" s="126"/>
      <c r="L167" s="280">
        <f t="shared" si="29"/>
        <v>92490</v>
      </c>
      <c r="M167" s="280">
        <f t="shared" si="29"/>
        <v>92490</v>
      </c>
      <c r="N167" s="280">
        <f t="shared" si="29"/>
        <v>92490</v>
      </c>
      <c r="O167" s="280">
        <f t="shared" si="24"/>
        <v>92490</v>
      </c>
      <c r="P167" s="155">
        <f t="shared" si="25"/>
        <v>90640</v>
      </c>
      <c r="Q167" s="155">
        <f t="shared" si="26"/>
        <v>0</v>
      </c>
    </row>
    <row r="168" spans="1:17">
      <c r="A168" s="64">
        <v>16356</v>
      </c>
      <c r="B168" s="65" t="s">
        <v>162</v>
      </c>
      <c r="C168" s="20">
        <f>VLOOKUP(A168,'Contribution Allocation_Report'!$A$9:$D$310,4,FALSE)</f>
        <v>1.972E-4</v>
      </c>
      <c r="D168" s="11"/>
      <c r="E168" s="277">
        <f>VLOOKUP(A168,Contributions_20!$A$9:$D$308,4,FALSE)</f>
        <v>1.83E-4</v>
      </c>
      <c r="F168" s="132"/>
      <c r="G168" s="148">
        <f t="shared" si="28"/>
        <v>68773</v>
      </c>
      <c r="H168" s="276">
        <f t="shared" si="22"/>
        <v>11501</v>
      </c>
      <c r="I168" s="129">
        <f t="shared" si="27"/>
        <v>57272</v>
      </c>
      <c r="J168" s="129"/>
      <c r="K168" s="126"/>
      <c r="L168" s="280">
        <f t="shared" si="29"/>
        <v>11500</v>
      </c>
      <c r="M168" s="280">
        <f t="shared" si="29"/>
        <v>11500</v>
      </c>
      <c r="N168" s="280">
        <f t="shared" si="29"/>
        <v>11500</v>
      </c>
      <c r="O168" s="280">
        <f t="shared" si="24"/>
        <v>11500</v>
      </c>
      <c r="P168" s="155">
        <f t="shared" si="25"/>
        <v>11272</v>
      </c>
      <c r="Q168" s="155">
        <f t="shared" si="26"/>
        <v>0</v>
      </c>
    </row>
    <row r="169" spans="1:17">
      <c r="A169" s="62">
        <v>31091</v>
      </c>
      <c r="B169" s="66" t="s">
        <v>163</v>
      </c>
      <c r="C169" s="21">
        <f>VLOOKUP(A169,'Contribution Allocation_Report'!$A$9:$D$310,4,FALSE)</f>
        <v>1.875E-4</v>
      </c>
      <c r="D169" s="11"/>
      <c r="E169" s="277">
        <f>VLOOKUP(A169,Contributions_20!$A$9:$D$308,4,FALSE)</f>
        <v>1.4779999999999999E-4</v>
      </c>
      <c r="F169" s="132"/>
      <c r="G169" s="148">
        <f t="shared" si="28"/>
        <v>192274</v>
      </c>
      <c r="H169" s="276">
        <f t="shared" si="22"/>
        <v>32153</v>
      </c>
      <c r="I169" s="129">
        <f t="shared" si="27"/>
        <v>160121</v>
      </c>
      <c r="J169" s="129"/>
      <c r="K169" s="126"/>
      <c r="L169" s="280">
        <f t="shared" si="29"/>
        <v>32153</v>
      </c>
      <c r="M169" s="280">
        <f t="shared" si="29"/>
        <v>32153</v>
      </c>
      <c r="N169" s="280">
        <f t="shared" si="29"/>
        <v>32153</v>
      </c>
      <c r="O169" s="280">
        <f t="shared" si="24"/>
        <v>32153</v>
      </c>
      <c r="P169" s="155">
        <f t="shared" si="25"/>
        <v>31509</v>
      </c>
      <c r="Q169" s="155">
        <f t="shared" si="26"/>
        <v>0</v>
      </c>
    </row>
    <row r="170" spans="1:17">
      <c r="A170" s="64">
        <v>2342</v>
      </c>
      <c r="B170" s="65" t="s">
        <v>164</v>
      </c>
      <c r="C170" s="20">
        <f>VLOOKUP(A170,'Contribution Allocation_Report'!$A$9:$D$310,4,FALSE)</f>
        <v>2.9819999999999998E-4</v>
      </c>
      <c r="D170" s="11"/>
      <c r="E170" s="277">
        <f>VLOOKUP(A170,Contributions_20!$A$9:$D$308,4,FALSE)</f>
        <v>2.5399999999999999E-4</v>
      </c>
      <c r="F170" s="132"/>
      <c r="G170" s="148">
        <f t="shared" si="28"/>
        <v>214068</v>
      </c>
      <c r="H170" s="276">
        <f t="shared" si="22"/>
        <v>35797</v>
      </c>
      <c r="I170" s="129">
        <f t="shared" si="27"/>
        <v>178271</v>
      </c>
      <c r="J170" s="129"/>
      <c r="K170" s="126"/>
      <c r="L170" s="280">
        <f t="shared" si="29"/>
        <v>35797</v>
      </c>
      <c r="M170" s="280">
        <f t="shared" si="29"/>
        <v>35797</v>
      </c>
      <c r="N170" s="280">
        <f t="shared" si="29"/>
        <v>35797</v>
      </c>
      <c r="O170" s="280">
        <f t="shared" si="24"/>
        <v>35797</v>
      </c>
      <c r="P170" s="155">
        <f t="shared" si="25"/>
        <v>35083</v>
      </c>
      <c r="Q170" s="155">
        <f t="shared" si="26"/>
        <v>0</v>
      </c>
    </row>
    <row r="171" spans="1:17">
      <c r="A171" s="62">
        <v>22067</v>
      </c>
      <c r="B171" s="66" t="s">
        <v>165</v>
      </c>
      <c r="C171" s="21">
        <f>VLOOKUP(A171,'Contribution Allocation_Report'!$A$9:$D$310,4,FALSE)</f>
        <v>4.4109999999999999E-4</v>
      </c>
      <c r="D171" s="11"/>
      <c r="E171" s="277">
        <f>VLOOKUP(A171,Contributions_20!$A$9:$D$308,4,FALSE)</f>
        <v>4.9700000000000005E-4</v>
      </c>
      <c r="F171" s="132"/>
      <c r="G171" s="148">
        <f t="shared" si="28"/>
        <v>-270733</v>
      </c>
      <c r="H171" s="276">
        <f t="shared" si="22"/>
        <v>-45273</v>
      </c>
      <c r="I171" s="129">
        <f t="shared" si="27"/>
        <v>-225460</v>
      </c>
      <c r="J171" s="129"/>
      <c r="K171" s="126"/>
      <c r="L171" s="280">
        <f t="shared" si="29"/>
        <v>-45273</v>
      </c>
      <c r="M171" s="280">
        <f t="shared" si="29"/>
        <v>-45273</v>
      </c>
      <c r="N171" s="280">
        <f t="shared" si="29"/>
        <v>-45273</v>
      </c>
      <c r="O171" s="280">
        <f t="shared" si="24"/>
        <v>-45273</v>
      </c>
      <c r="P171" s="155">
        <f t="shared" si="25"/>
        <v>-44368</v>
      </c>
      <c r="Q171" s="155">
        <f t="shared" si="26"/>
        <v>0</v>
      </c>
    </row>
    <row r="172" spans="1:17">
      <c r="A172" s="64">
        <v>32112</v>
      </c>
      <c r="B172" s="65" t="s">
        <v>166</v>
      </c>
      <c r="C172" s="20">
        <f>VLOOKUP(A172,'Contribution Allocation_Report'!$A$9:$D$310,4,FALSE)</f>
        <v>2.6059999999999999E-4</v>
      </c>
      <c r="D172" s="11"/>
      <c r="E172" s="277">
        <f>VLOOKUP(A172,Contributions_20!$A$9:$D$308,4,FALSE)</f>
        <v>2.4790000000000001E-4</v>
      </c>
      <c r="F172" s="132"/>
      <c r="G172" s="148">
        <f t="shared" si="28"/>
        <v>61508</v>
      </c>
      <c r="H172" s="276">
        <f t="shared" si="22"/>
        <v>10286</v>
      </c>
      <c r="I172" s="129">
        <f t="shared" si="27"/>
        <v>51222</v>
      </c>
      <c r="J172" s="129"/>
      <c r="K172" s="126"/>
      <c r="L172" s="280">
        <f t="shared" si="29"/>
        <v>10286</v>
      </c>
      <c r="M172" s="280">
        <f t="shared" si="29"/>
        <v>10286</v>
      </c>
      <c r="N172" s="280">
        <f t="shared" si="29"/>
        <v>10286</v>
      </c>
      <c r="O172" s="280">
        <f t="shared" si="24"/>
        <v>10286</v>
      </c>
      <c r="P172" s="155">
        <f t="shared" si="25"/>
        <v>10078</v>
      </c>
      <c r="Q172" s="155">
        <f t="shared" si="26"/>
        <v>0</v>
      </c>
    </row>
    <row r="173" spans="1:17">
      <c r="A173" s="62">
        <v>2354</v>
      </c>
      <c r="B173" s="66" t="s">
        <v>167</v>
      </c>
      <c r="C173" s="21">
        <f>VLOOKUP(A173,'Contribution Allocation_Report'!$A$9:$D$310,4,FALSE)</f>
        <v>6.7969999999999999E-4</v>
      </c>
      <c r="D173" s="11"/>
      <c r="E173" s="277">
        <f>VLOOKUP(A173,Contributions_20!$A$9:$D$308,4,FALSE)</f>
        <v>6.824E-4</v>
      </c>
      <c r="F173" s="132"/>
      <c r="G173" s="148">
        <f t="shared" si="28"/>
        <v>-13077</v>
      </c>
      <c r="H173" s="276">
        <f t="shared" si="22"/>
        <v>-2187</v>
      </c>
      <c r="I173" s="129">
        <f t="shared" si="27"/>
        <v>-10890</v>
      </c>
      <c r="J173" s="129"/>
      <c r="K173" s="126"/>
      <c r="L173" s="280">
        <f t="shared" si="29"/>
        <v>-2187</v>
      </c>
      <c r="M173" s="280">
        <f t="shared" si="29"/>
        <v>-2187</v>
      </c>
      <c r="N173" s="280">
        <f t="shared" si="29"/>
        <v>-2187</v>
      </c>
      <c r="O173" s="280">
        <f t="shared" si="24"/>
        <v>-2187</v>
      </c>
      <c r="P173" s="155">
        <f t="shared" si="25"/>
        <v>-2142</v>
      </c>
      <c r="Q173" s="155">
        <f t="shared" si="26"/>
        <v>0</v>
      </c>
    </row>
    <row r="174" spans="1:17">
      <c r="A174" s="64">
        <v>2148</v>
      </c>
      <c r="B174" s="65" t="s">
        <v>168</v>
      </c>
      <c r="C174" s="20">
        <f>VLOOKUP(A174,'Contribution Allocation_Report'!$A$9:$D$310,4,FALSE)</f>
        <v>2.4220000000000001E-4</v>
      </c>
      <c r="D174" s="11"/>
      <c r="E174" s="277">
        <f>VLOOKUP(A174,Contributions_20!$A$9:$D$308,4,FALSE)</f>
        <v>2.4240000000000001E-4</v>
      </c>
      <c r="F174" s="132"/>
      <c r="G174" s="148">
        <f t="shared" si="28"/>
        <v>-969</v>
      </c>
      <c r="H174" s="276">
        <f t="shared" si="22"/>
        <v>-162</v>
      </c>
      <c r="I174" s="129">
        <f t="shared" si="27"/>
        <v>-807</v>
      </c>
      <c r="J174" s="129"/>
      <c r="K174" s="126"/>
      <c r="L174" s="280">
        <f t="shared" si="29"/>
        <v>-162</v>
      </c>
      <c r="M174" s="280">
        <f t="shared" si="29"/>
        <v>-162</v>
      </c>
      <c r="N174" s="280">
        <f t="shared" si="29"/>
        <v>-162</v>
      </c>
      <c r="O174" s="280">
        <f t="shared" si="24"/>
        <v>-162</v>
      </c>
      <c r="P174" s="155">
        <f t="shared" si="25"/>
        <v>-159</v>
      </c>
      <c r="Q174" s="155">
        <f t="shared" si="26"/>
        <v>0</v>
      </c>
    </row>
    <row r="175" spans="1:17">
      <c r="A175" s="62">
        <v>1418</v>
      </c>
      <c r="B175" s="66" t="s">
        <v>169</v>
      </c>
      <c r="C175" s="21">
        <f>VLOOKUP(A175,'Contribution Allocation_Report'!$A$9:$D$310,4,FALSE)</f>
        <v>9.3440000000000005E-4</v>
      </c>
      <c r="D175" s="11"/>
      <c r="E175" s="277">
        <f>VLOOKUP(A175,Contributions_20!$A$9:$D$308,4,FALSE)</f>
        <v>6.7500000000000004E-4</v>
      </c>
      <c r="F175" s="132"/>
      <c r="G175" s="148">
        <f t="shared" si="28"/>
        <v>1256318</v>
      </c>
      <c r="H175" s="276">
        <f t="shared" si="22"/>
        <v>210087</v>
      </c>
      <c r="I175" s="129">
        <f t="shared" si="27"/>
        <v>1046231</v>
      </c>
      <c r="J175" s="129"/>
      <c r="K175" s="126"/>
      <c r="L175" s="280">
        <f t="shared" si="29"/>
        <v>210087</v>
      </c>
      <c r="M175" s="280">
        <f t="shared" si="29"/>
        <v>210087</v>
      </c>
      <c r="N175" s="280">
        <f t="shared" si="29"/>
        <v>210087</v>
      </c>
      <c r="O175" s="280">
        <f t="shared" si="24"/>
        <v>210087</v>
      </c>
      <c r="P175" s="155">
        <f t="shared" si="25"/>
        <v>205883</v>
      </c>
      <c r="Q175" s="155">
        <f t="shared" si="26"/>
        <v>0</v>
      </c>
    </row>
    <row r="176" spans="1:17">
      <c r="A176" s="64">
        <v>12102</v>
      </c>
      <c r="B176" s="65" t="s">
        <v>170</v>
      </c>
      <c r="C176" s="20">
        <f>VLOOKUP(A176,'Contribution Allocation_Report'!$A$9:$D$310,4,FALSE)</f>
        <v>5.2953000000000002E-3</v>
      </c>
      <c r="D176" s="11"/>
      <c r="E176" s="277">
        <f>VLOOKUP(A176,Contributions_20!$A$9:$D$308,4,FALSE)</f>
        <v>4.9189999999999998E-3</v>
      </c>
      <c r="F176" s="132"/>
      <c r="G176" s="148">
        <f t="shared" si="28"/>
        <v>1822485</v>
      </c>
      <c r="H176" s="276">
        <f t="shared" si="22"/>
        <v>304763</v>
      </c>
      <c r="I176" s="129">
        <f t="shared" si="27"/>
        <v>1517722</v>
      </c>
      <c r="J176" s="129"/>
      <c r="K176" s="126"/>
      <c r="L176" s="280">
        <f t="shared" si="29"/>
        <v>304763</v>
      </c>
      <c r="M176" s="280">
        <f t="shared" si="29"/>
        <v>304763</v>
      </c>
      <c r="N176" s="280">
        <f t="shared" si="29"/>
        <v>304763</v>
      </c>
      <c r="O176" s="280">
        <f t="shared" si="24"/>
        <v>304763</v>
      </c>
      <c r="P176" s="155">
        <f t="shared" si="25"/>
        <v>298670</v>
      </c>
      <c r="Q176" s="155">
        <f t="shared" si="26"/>
        <v>0</v>
      </c>
    </row>
    <row r="177" spans="1:17">
      <c r="A177" s="62">
        <v>2414</v>
      </c>
      <c r="B177" s="66" t="s">
        <v>171</v>
      </c>
      <c r="C177" s="21">
        <f>VLOOKUP(A177,'Contribution Allocation_Report'!$A$9:$D$310,4,FALSE)</f>
        <v>4.0170000000000001E-4</v>
      </c>
      <c r="D177" s="11"/>
      <c r="E177" s="277">
        <f>VLOOKUP(A177,Contributions_20!$A$9:$D$308,4,FALSE)</f>
        <v>3.5270000000000001E-4</v>
      </c>
      <c r="F177" s="132"/>
      <c r="G177" s="148">
        <f t="shared" si="28"/>
        <v>237315</v>
      </c>
      <c r="H177" s="276">
        <f t="shared" si="22"/>
        <v>39685</v>
      </c>
      <c r="I177" s="129">
        <f t="shared" si="27"/>
        <v>197630</v>
      </c>
      <c r="J177" s="129"/>
      <c r="K177" s="126"/>
      <c r="L177" s="280">
        <f t="shared" si="29"/>
        <v>39685</v>
      </c>
      <c r="M177" s="280">
        <f t="shared" si="29"/>
        <v>39685</v>
      </c>
      <c r="N177" s="280">
        <f t="shared" si="29"/>
        <v>39685</v>
      </c>
      <c r="O177" s="280">
        <f t="shared" si="24"/>
        <v>39685</v>
      </c>
      <c r="P177" s="155">
        <f t="shared" si="25"/>
        <v>38890</v>
      </c>
      <c r="Q177" s="155">
        <f t="shared" si="26"/>
        <v>0</v>
      </c>
    </row>
    <row r="178" spans="1:17">
      <c r="A178" s="64">
        <v>6124</v>
      </c>
      <c r="B178" s="65" t="s">
        <v>172</v>
      </c>
      <c r="C178" s="20">
        <f>VLOOKUP(A178,'Contribution Allocation_Report'!$A$9:$D$310,4,FALSE)</f>
        <v>2.4908999999999999E-3</v>
      </c>
      <c r="D178" s="11"/>
      <c r="E178" s="277">
        <f>VLOOKUP(A178,Contributions_20!$A$9:$D$308,4,FALSE)</f>
        <v>2.6570999999999999E-3</v>
      </c>
      <c r="F178" s="132"/>
      <c r="G178" s="148">
        <f t="shared" si="28"/>
        <v>-804935</v>
      </c>
      <c r="H178" s="276">
        <f t="shared" si="22"/>
        <v>-134605</v>
      </c>
      <c r="I178" s="129">
        <f t="shared" si="27"/>
        <v>-670330</v>
      </c>
      <c r="J178" s="129"/>
      <c r="K178" s="126"/>
      <c r="L178" s="280">
        <f t="shared" si="29"/>
        <v>-134604</v>
      </c>
      <c r="M178" s="280">
        <f t="shared" si="29"/>
        <v>-134604</v>
      </c>
      <c r="N178" s="280">
        <f t="shared" si="29"/>
        <v>-134604</v>
      </c>
      <c r="O178" s="280">
        <f t="shared" si="24"/>
        <v>-134604</v>
      </c>
      <c r="P178" s="155">
        <f t="shared" si="25"/>
        <v>-131914</v>
      </c>
      <c r="Q178" s="155">
        <f t="shared" si="26"/>
        <v>0</v>
      </c>
    </row>
    <row r="179" spans="1:17">
      <c r="A179" s="62">
        <v>4097</v>
      </c>
      <c r="B179" s="66" t="s">
        <v>173</v>
      </c>
      <c r="C179" s="21">
        <f>VLOOKUP(A179,'Contribution Allocation_Report'!$A$9:$D$310,4,FALSE)</f>
        <v>2.9477000000000001E-3</v>
      </c>
      <c r="D179" s="11"/>
      <c r="E179" s="277">
        <f>VLOOKUP(A179,Contributions_20!$A$9:$D$308,4,FALSE)</f>
        <v>2.9757999999999998E-3</v>
      </c>
      <c r="F179" s="132"/>
      <c r="G179" s="148">
        <f t="shared" si="28"/>
        <v>-136093</v>
      </c>
      <c r="H179" s="276">
        <f t="shared" si="22"/>
        <v>-22758</v>
      </c>
      <c r="I179" s="129">
        <f t="shared" si="27"/>
        <v>-113335</v>
      </c>
      <c r="J179" s="129"/>
      <c r="K179" s="126"/>
      <c r="L179" s="280">
        <f t="shared" si="29"/>
        <v>-22758</v>
      </c>
      <c r="M179" s="280">
        <f t="shared" si="29"/>
        <v>-22758</v>
      </c>
      <c r="N179" s="280">
        <f t="shared" si="29"/>
        <v>-22758</v>
      </c>
      <c r="O179" s="280">
        <f t="shared" si="24"/>
        <v>-22758</v>
      </c>
      <c r="P179" s="155">
        <f t="shared" si="25"/>
        <v>-22303</v>
      </c>
      <c r="Q179" s="155">
        <f t="shared" si="26"/>
        <v>0</v>
      </c>
    </row>
    <row r="180" spans="1:17">
      <c r="A180" s="64">
        <v>1416</v>
      </c>
      <c r="B180" s="65" t="s">
        <v>174</v>
      </c>
      <c r="C180" s="20">
        <f>VLOOKUP(A180,'Contribution Allocation_Report'!$A$9:$D$310,4,FALSE)</f>
        <v>3.6329999999999999E-4</v>
      </c>
      <c r="D180" s="11"/>
      <c r="E180" s="277">
        <f>VLOOKUP(A180,Contributions_20!$A$9:$D$308,4,FALSE)</f>
        <v>3.3040000000000001E-4</v>
      </c>
      <c r="F180" s="132"/>
      <c r="G180" s="148">
        <f t="shared" si="28"/>
        <v>159340</v>
      </c>
      <c r="H180" s="276">
        <f t="shared" si="22"/>
        <v>26645</v>
      </c>
      <c r="I180" s="129">
        <f t="shared" si="27"/>
        <v>132695</v>
      </c>
      <c r="J180" s="129"/>
      <c r="K180" s="126"/>
      <c r="L180" s="280">
        <f t="shared" si="29"/>
        <v>26646</v>
      </c>
      <c r="M180" s="280">
        <f t="shared" si="29"/>
        <v>26646</v>
      </c>
      <c r="N180" s="280">
        <f t="shared" si="29"/>
        <v>26646</v>
      </c>
      <c r="O180" s="280">
        <f t="shared" si="24"/>
        <v>26646</v>
      </c>
      <c r="P180" s="155">
        <f t="shared" si="25"/>
        <v>26111</v>
      </c>
      <c r="Q180" s="155">
        <f t="shared" si="26"/>
        <v>0</v>
      </c>
    </row>
    <row r="181" spans="1:17">
      <c r="A181" s="62">
        <v>1094</v>
      </c>
      <c r="B181" s="66" t="s">
        <v>175</v>
      </c>
      <c r="C181" s="21">
        <f>VLOOKUP(A181,'Contribution Allocation_Report'!$A$9:$D$310,4,FALSE)</f>
        <v>2.2014999999999999E-3</v>
      </c>
      <c r="D181" s="11"/>
      <c r="E181" s="277">
        <f>VLOOKUP(A181,Contributions_20!$A$9:$D$308,4,FALSE)</f>
        <v>2.3341999999999998E-3</v>
      </c>
      <c r="F181" s="132"/>
      <c r="G181" s="148">
        <f t="shared" si="28"/>
        <v>-642689</v>
      </c>
      <c r="H181" s="276">
        <f t="shared" si="22"/>
        <v>-107473</v>
      </c>
      <c r="I181" s="129">
        <f t="shared" si="27"/>
        <v>-535216</v>
      </c>
      <c r="J181" s="129"/>
      <c r="K181" s="126"/>
      <c r="L181" s="280">
        <f t="shared" si="29"/>
        <v>-107473</v>
      </c>
      <c r="M181" s="280">
        <f t="shared" si="29"/>
        <v>-107473</v>
      </c>
      <c r="N181" s="280">
        <f t="shared" si="29"/>
        <v>-107473</v>
      </c>
      <c r="O181" s="280">
        <f t="shared" si="24"/>
        <v>-107473</v>
      </c>
      <c r="P181" s="155">
        <f t="shared" si="25"/>
        <v>-105324</v>
      </c>
      <c r="Q181" s="155">
        <f t="shared" si="26"/>
        <v>0</v>
      </c>
    </row>
    <row r="182" spans="1:17">
      <c r="A182" s="62">
        <v>32111</v>
      </c>
      <c r="B182" s="66" t="s">
        <v>176</v>
      </c>
      <c r="C182" s="21">
        <f>VLOOKUP(A182,'Contribution Allocation_Report'!$A$9:$D$310,4,FALSE)</f>
        <v>2.0200999999999999E-3</v>
      </c>
      <c r="D182" s="11"/>
      <c r="E182" s="277">
        <f>VLOOKUP(A182,Contributions_20!$A$9:$D$308,4,FALSE)</f>
        <v>2.0994E-3</v>
      </c>
      <c r="F182" s="132"/>
      <c r="G182" s="148">
        <f t="shared" si="28"/>
        <v>-384063</v>
      </c>
      <c r="H182" s="276">
        <f t="shared" si="22"/>
        <v>-64225</v>
      </c>
      <c r="I182" s="129">
        <f t="shared" si="27"/>
        <v>-319838</v>
      </c>
      <c r="J182" s="129"/>
      <c r="K182" s="126"/>
      <c r="L182" s="280">
        <f t="shared" si="29"/>
        <v>-64224</v>
      </c>
      <c r="M182" s="280">
        <f t="shared" si="29"/>
        <v>-64224</v>
      </c>
      <c r="N182" s="280">
        <f t="shared" si="29"/>
        <v>-64224</v>
      </c>
      <c r="O182" s="280">
        <f t="shared" si="24"/>
        <v>-64224</v>
      </c>
      <c r="P182" s="155">
        <f t="shared" si="25"/>
        <v>-62942</v>
      </c>
      <c r="Q182" s="155">
        <f t="shared" si="26"/>
        <v>0</v>
      </c>
    </row>
    <row r="183" spans="1:17">
      <c r="A183" s="64">
        <v>2520</v>
      </c>
      <c r="B183" s="65" t="s">
        <v>177</v>
      </c>
      <c r="C183" s="20">
        <f>VLOOKUP(A183,'Contribution Allocation_Report'!$A$9:$D$310,4,FALSE)</f>
        <v>2.7930000000000001E-4</v>
      </c>
      <c r="D183" s="11"/>
      <c r="E183" s="277">
        <f>VLOOKUP(A183,Contributions_20!$A$9:$D$308,4,FALSE)</f>
        <v>2.4250000000000001E-4</v>
      </c>
      <c r="F183" s="132"/>
      <c r="G183" s="148">
        <f t="shared" si="28"/>
        <v>178229</v>
      </c>
      <c r="H183" s="276">
        <f t="shared" si="22"/>
        <v>29804</v>
      </c>
      <c r="I183" s="129">
        <f t="shared" si="27"/>
        <v>148425</v>
      </c>
      <c r="J183" s="129"/>
      <c r="K183" s="126"/>
      <c r="L183" s="280">
        <f t="shared" si="29"/>
        <v>29804</v>
      </c>
      <c r="M183" s="280">
        <f t="shared" si="29"/>
        <v>29804</v>
      </c>
      <c r="N183" s="280">
        <f t="shared" si="29"/>
        <v>29804</v>
      </c>
      <c r="O183" s="280">
        <f t="shared" si="24"/>
        <v>29804</v>
      </c>
      <c r="P183" s="155">
        <f t="shared" si="25"/>
        <v>29209</v>
      </c>
      <c r="Q183" s="155">
        <f t="shared" si="26"/>
        <v>0</v>
      </c>
    </row>
    <row r="184" spans="1:17">
      <c r="A184" s="62">
        <v>3450</v>
      </c>
      <c r="B184" s="66" t="s">
        <v>178</v>
      </c>
      <c r="C184" s="21">
        <f>VLOOKUP(A184,'Contribution Allocation_Report'!$A$9:$D$310,4,FALSE)</f>
        <v>5.6959999999999997E-4</v>
      </c>
      <c r="D184" s="11"/>
      <c r="E184" s="277">
        <f>VLOOKUP(A184,Contributions_20!$A$9:$D$308,4,FALSE)</f>
        <v>5.6630000000000005E-4</v>
      </c>
      <c r="F184" s="132"/>
      <c r="G184" s="148">
        <f t="shared" si="28"/>
        <v>15982</v>
      </c>
      <c r="H184" s="276">
        <f t="shared" si="22"/>
        <v>2673</v>
      </c>
      <c r="I184" s="129">
        <f t="shared" si="27"/>
        <v>13309</v>
      </c>
      <c r="J184" s="129"/>
      <c r="K184" s="126"/>
      <c r="L184" s="280">
        <f t="shared" si="29"/>
        <v>2672</v>
      </c>
      <c r="M184" s="280">
        <f t="shared" si="29"/>
        <v>2672</v>
      </c>
      <c r="N184" s="280">
        <f t="shared" si="29"/>
        <v>2672</v>
      </c>
      <c r="O184" s="280">
        <f t="shared" si="24"/>
        <v>2672</v>
      </c>
      <c r="P184" s="155">
        <f t="shared" si="25"/>
        <v>2621</v>
      </c>
      <c r="Q184" s="155">
        <f t="shared" si="26"/>
        <v>0</v>
      </c>
    </row>
    <row r="185" spans="1:17">
      <c r="A185" s="64">
        <v>4310</v>
      </c>
      <c r="B185" s="65" t="s">
        <v>179</v>
      </c>
      <c r="C185" s="20">
        <f>VLOOKUP(A185,'Contribution Allocation_Report'!$A$9:$D$310,4,FALSE)</f>
        <v>3.2539999999999999E-4</v>
      </c>
      <c r="D185" s="11"/>
      <c r="E185" s="277">
        <f>VLOOKUP(A185,Contributions_20!$A$9:$D$308,4,FALSE)</f>
        <v>3.4840000000000001E-4</v>
      </c>
      <c r="F185" s="132"/>
      <c r="G185" s="148">
        <f t="shared" si="28"/>
        <v>-111393</v>
      </c>
      <c r="H185" s="276">
        <f t="shared" si="22"/>
        <v>-18628</v>
      </c>
      <c r="I185" s="129">
        <f t="shared" si="27"/>
        <v>-92765</v>
      </c>
      <c r="J185" s="129"/>
      <c r="K185" s="126"/>
      <c r="L185" s="280">
        <f t="shared" si="29"/>
        <v>-18628</v>
      </c>
      <c r="M185" s="280">
        <f t="shared" si="29"/>
        <v>-18628</v>
      </c>
      <c r="N185" s="280">
        <f t="shared" si="29"/>
        <v>-18628</v>
      </c>
      <c r="O185" s="280">
        <f t="shared" si="24"/>
        <v>-18628</v>
      </c>
      <c r="P185" s="155">
        <f t="shared" si="25"/>
        <v>-18253</v>
      </c>
      <c r="Q185" s="155">
        <f t="shared" si="26"/>
        <v>0</v>
      </c>
    </row>
    <row r="186" spans="1:17">
      <c r="A186" s="62">
        <v>2328</v>
      </c>
      <c r="B186" s="66" t="s">
        <v>180</v>
      </c>
      <c r="C186" s="21">
        <f>VLOOKUP(A186,'Contribution Allocation_Report'!$A$9:$D$310,4,FALSE)</f>
        <v>5.2999999999999998E-4</v>
      </c>
      <c r="D186" s="11"/>
      <c r="E186" s="277">
        <f>VLOOKUP(A186,Contributions_20!$A$9:$D$308,4,FALSE)</f>
        <v>5.0290000000000003E-4</v>
      </c>
      <c r="F186" s="132"/>
      <c r="G186" s="148">
        <f t="shared" si="28"/>
        <v>131250</v>
      </c>
      <c r="H186" s="276">
        <f t="shared" si="22"/>
        <v>21948</v>
      </c>
      <c r="I186" s="129">
        <f t="shared" si="27"/>
        <v>109302</v>
      </c>
      <c r="J186" s="129"/>
      <c r="K186" s="126"/>
      <c r="L186" s="280">
        <f t="shared" si="29"/>
        <v>21948</v>
      </c>
      <c r="M186" s="280">
        <f t="shared" si="29"/>
        <v>21948</v>
      </c>
      <c r="N186" s="280">
        <f t="shared" si="29"/>
        <v>21948</v>
      </c>
      <c r="O186" s="280">
        <f t="shared" si="24"/>
        <v>21948</v>
      </c>
      <c r="P186" s="155">
        <f t="shared" si="25"/>
        <v>21510</v>
      </c>
      <c r="Q186" s="155">
        <f t="shared" si="26"/>
        <v>0</v>
      </c>
    </row>
    <row r="187" spans="1:17">
      <c r="A187" s="64">
        <v>12151</v>
      </c>
      <c r="B187" s="65" t="s">
        <v>181</v>
      </c>
      <c r="C187" s="20">
        <f>VLOOKUP(A187,'Contribution Allocation_Report'!$A$9:$D$310,4,FALSE)</f>
        <v>1.752E-4</v>
      </c>
      <c r="D187" s="11"/>
      <c r="E187" s="277">
        <f>VLOOKUP(A187,Contributions_20!$A$9:$D$308,4,FALSE)</f>
        <v>1.6540000000000001E-4</v>
      </c>
      <c r="F187" s="132"/>
      <c r="G187" s="148">
        <f t="shared" si="28"/>
        <v>47463</v>
      </c>
      <c r="H187" s="276">
        <f t="shared" si="22"/>
        <v>7937</v>
      </c>
      <c r="I187" s="129">
        <f t="shared" si="27"/>
        <v>39526</v>
      </c>
      <c r="J187" s="129"/>
      <c r="K187" s="126"/>
      <c r="L187" s="280">
        <f t="shared" si="29"/>
        <v>7937</v>
      </c>
      <c r="M187" s="280">
        <f t="shared" si="29"/>
        <v>7937</v>
      </c>
      <c r="N187" s="280">
        <f t="shared" si="29"/>
        <v>7937</v>
      </c>
      <c r="O187" s="280">
        <f t="shared" si="24"/>
        <v>7937</v>
      </c>
      <c r="P187" s="155">
        <f t="shared" si="25"/>
        <v>7778</v>
      </c>
      <c r="Q187" s="155">
        <f t="shared" si="26"/>
        <v>0</v>
      </c>
    </row>
    <row r="188" spans="1:17">
      <c r="A188" s="62">
        <v>32110</v>
      </c>
      <c r="B188" s="66" t="s">
        <v>182</v>
      </c>
      <c r="C188" s="21">
        <f>VLOOKUP(A188,'Contribution Allocation_Report'!$A$9:$D$310,4,FALSE)</f>
        <v>2.0251000000000002E-3</v>
      </c>
      <c r="D188" s="11"/>
      <c r="E188" s="277">
        <f>VLOOKUP(A188,Contributions_20!$A$9:$D$308,4,FALSE)</f>
        <v>1.8986999999999999E-3</v>
      </c>
      <c r="F188" s="132"/>
      <c r="G188" s="148">
        <f t="shared" si="28"/>
        <v>612177</v>
      </c>
      <c r="H188" s="276">
        <f t="shared" si="22"/>
        <v>102371</v>
      </c>
      <c r="I188" s="129">
        <f t="shared" si="27"/>
        <v>509806</v>
      </c>
      <c r="J188" s="129"/>
      <c r="K188" s="126"/>
      <c r="L188" s="280">
        <f t="shared" si="29"/>
        <v>102371</v>
      </c>
      <c r="M188" s="280">
        <f t="shared" si="29"/>
        <v>102371</v>
      </c>
      <c r="N188" s="280">
        <f t="shared" si="29"/>
        <v>102371</v>
      </c>
      <c r="O188" s="280">
        <f t="shared" si="24"/>
        <v>102371</v>
      </c>
      <c r="P188" s="155">
        <f t="shared" si="25"/>
        <v>100322</v>
      </c>
      <c r="Q188" s="155">
        <f t="shared" si="26"/>
        <v>0</v>
      </c>
    </row>
    <row r="189" spans="1:17">
      <c r="A189" s="64">
        <v>4215</v>
      </c>
      <c r="B189" s="65" t="s">
        <v>183</v>
      </c>
      <c r="C189" s="20">
        <f>VLOOKUP(A189,'Contribution Allocation_Report'!$A$9:$D$310,4,FALSE)</f>
        <v>2.9600000000000001E-5</v>
      </c>
      <c r="D189" s="11"/>
      <c r="E189" s="277">
        <f>VLOOKUP(A189,Contributions_20!$A$9:$D$308,4,FALSE)</f>
        <v>7.2000000000000002E-5</v>
      </c>
      <c r="F189" s="132"/>
      <c r="G189" s="148">
        <f t="shared" si="28"/>
        <v>-205350</v>
      </c>
      <c r="H189" s="276">
        <f t="shared" si="22"/>
        <v>-34339</v>
      </c>
      <c r="I189" s="129">
        <f t="shared" si="27"/>
        <v>-171011</v>
      </c>
      <c r="J189" s="129"/>
      <c r="K189" s="126"/>
      <c r="L189" s="280">
        <f t="shared" si="29"/>
        <v>-34340</v>
      </c>
      <c r="M189" s="280">
        <f t="shared" si="29"/>
        <v>-34340</v>
      </c>
      <c r="N189" s="280">
        <f t="shared" si="29"/>
        <v>-34340</v>
      </c>
      <c r="O189" s="280">
        <f t="shared" si="24"/>
        <v>-34340</v>
      </c>
      <c r="P189" s="155">
        <f t="shared" si="25"/>
        <v>-33651</v>
      </c>
      <c r="Q189" s="155">
        <f t="shared" si="26"/>
        <v>0</v>
      </c>
    </row>
    <row r="190" spans="1:17">
      <c r="A190" s="62">
        <v>2870</v>
      </c>
      <c r="B190" s="66" t="s">
        <v>184</v>
      </c>
      <c r="C190" s="21">
        <f>VLOOKUP(A190,'Contribution Allocation_Report'!$A$9:$D$310,4,FALSE)</f>
        <v>3.2229999999999997E-4</v>
      </c>
      <c r="D190" s="11"/>
      <c r="E190" s="277">
        <f>VLOOKUP(A190,Contributions_20!$A$9:$D$308,4,FALSE)</f>
        <v>3.1930000000000001E-4</v>
      </c>
      <c r="F190" s="132"/>
      <c r="G190" s="148">
        <f t="shared" si="28"/>
        <v>14530</v>
      </c>
      <c r="H190" s="276">
        <f t="shared" si="22"/>
        <v>2430</v>
      </c>
      <c r="I190" s="129">
        <f t="shared" si="27"/>
        <v>12100</v>
      </c>
      <c r="J190" s="129"/>
      <c r="K190" s="126"/>
      <c r="L190" s="280">
        <f t="shared" si="29"/>
        <v>2430</v>
      </c>
      <c r="M190" s="280">
        <f t="shared" si="29"/>
        <v>2430</v>
      </c>
      <c r="N190" s="280">
        <f t="shared" si="29"/>
        <v>2430</v>
      </c>
      <c r="O190" s="280">
        <f t="shared" si="24"/>
        <v>2430</v>
      </c>
      <c r="P190" s="155">
        <f t="shared" si="25"/>
        <v>2380</v>
      </c>
      <c r="Q190" s="155">
        <f t="shared" si="26"/>
        <v>0</v>
      </c>
    </row>
    <row r="191" spans="1:17">
      <c r="A191" s="64">
        <v>29150</v>
      </c>
      <c r="B191" s="65" t="s">
        <v>185</v>
      </c>
      <c r="C191" s="20">
        <f>VLOOKUP(A191,'Contribution Allocation_Report'!$A$9:$D$310,4,FALSE)</f>
        <v>9.8400000000000007E-5</v>
      </c>
      <c r="D191" s="11"/>
      <c r="E191" s="277">
        <f>VLOOKUP(A191,Contributions_20!$A$9:$D$308,4,FALSE)</f>
        <v>1.117E-4</v>
      </c>
      <c r="F191" s="132"/>
      <c r="G191" s="148">
        <f t="shared" si="28"/>
        <v>-64414</v>
      </c>
      <c r="H191" s="276">
        <f t="shared" si="22"/>
        <v>-10772</v>
      </c>
      <c r="I191" s="129">
        <f t="shared" si="27"/>
        <v>-53642</v>
      </c>
      <c r="J191" s="129"/>
      <c r="K191" s="126"/>
      <c r="L191" s="280">
        <f t="shared" si="29"/>
        <v>-10771</v>
      </c>
      <c r="M191" s="280">
        <f t="shared" si="29"/>
        <v>-10771</v>
      </c>
      <c r="N191" s="280">
        <f t="shared" si="29"/>
        <v>-10771</v>
      </c>
      <c r="O191" s="280">
        <f t="shared" si="24"/>
        <v>-10771</v>
      </c>
      <c r="P191" s="155">
        <f t="shared" si="25"/>
        <v>-10558</v>
      </c>
      <c r="Q191" s="155">
        <f t="shared" si="26"/>
        <v>0</v>
      </c>
    </row>
    <row r="192" spans="1:17">
      <c r="A192" s="62">
        <v>2311</v>
      </c>
      <c r="B192" s="66" t="s">
        <v>186</v>
      </c>
      <c r="C192" s="21">
        <f>VLOOKUP(A192,'Contribution Allocation_Report'!$A$9:$D$310,4,FALSE)</f>
        <v>2.6879999999999997E-4</v>
      </c>
      <c r="D192" s="11"/>
      <c r="E192" s="277">
        <f>VLOOKUP(A192,Contributions_20!$A$9:$D$308,4,FALSE)</f>
        <v>3.0069999999999999E-4</v>
      </c>
      <c r="F192" s="132"/>
      <c r="G192" s="148">
        <f t="shared" si="28"/>
        <v>-154497</v>
      </c>
      <c r="H192" s="276">
        <f t="shared" si="22"/>
        <v>-25836</v>
      </c>
      <c r="I192" s="129">
        <f t="shared" si="27"/>
        <v>-128661</v>
      </c>
      <c r="J192" s="129"/>
      <c r="K192" s="126"/>
      <c r="L192" s="280">
        <f t="shared" si="29"/>
        <v>-25836</v>
      </c>
      <c r="M192" s="280">
        <f t="shared" si="29"/>
        <v>-25836</v>
      </c>
      <c r="N192" s="280">
        <f t="shared" si="29"/>
        <v>-25836</v>
      </c>
      <c r="O192" s="280">
        <f t="shared" si="24"/>
        <v>-25836</v>
      </c>
      <c r="P192" s="155">
        <f t="shared" si="25"/>
        <v>-25317</v>
      </c>
      <c r="Q192" s="155">
        <f t="shared" si="26"/>
        <v>0</v>
      </c>
    </row>
    <row r="193" spans="1:17">
      <c r="A193" s="64">
        <v>32118</v>
      </c>
      <c r="B193" s="65" t="s">
        <v>187</v>
      </c>
      <c r="C193" s="20">
        <f>VLOOKUP(A193,'Contribution Allocation_Report'!$A$9:$D$310,4,FALSE)</f>
        <v>9.322E-4</v>
      </c>
      <c r="D193" s="11"/>
      <c r="E193" s="277">
        <f>VLOOKUP(A193,Contributions_20!$A$9:$D$308,4,FALSE)</f>
        <v>4.9839999999999997E-4</v>
      </c>
      <c r="F193" s="132"/>
      <c r="G193" s="148">
        <f t="shared" si="28"/>
        <v>2100967</v>
      </c>
      <c r="H193" s="276">
        <f t="shared" si="22"/>
        <v>351332</v>
      </c>
      <c r="I193" s="129">
        <f t="shared" si="27"/>
        <v>1749635</v>
      </c>
      <c r="J193" s="129"/>
      <c r="K193" s="126"/>
      <c r="L193" s="280">
        <f t="shared" si="29"/>
        <v>351332</v>
      </c>
      <c r="M193" s="280">
        <f t="shared" si="29"/>
        <v>351332</v>
      </c>
      <c r="N193" s="280">
        <f t="shared" si="29"/>
        <v>351332</v>
      </c>
      <c r="O193" s="280">
        <f t="shared" si="24"/>
        <v>351332</v>
      </c>
      <c r="P193" s="155">
        <f t="shared" si="25"/>
        <v>344307</v>
      </c>
      <c r="Q193" s="155">
        <f t="shared" si="26"/>
        <v>0</v>
      </c>
    </row>
    <row r="194" spans="1:17">
      <c r="A194" s="62">
        <v>12039</v>
      </c>
      <c r="B194" s="66" t="s">
        <v>188</v>
      </c>
      <c r="C194" s="21">
        <f>VLOOKUP(A194,'Contribution Allocation_Report'!$A$9:$D$310,4,FALSE)</f>
        <v>8.7540000000000003E-4</v>
      </c>
      <c r="D194" s="11"/>
      <c r="E194" s="277">
        <f>VLOOKUP(A194,Contributions_20!$A$9:$D$308,4,FALSE)</f>
        <v>9.2100000000000005E-4</v>
      </c>
      <c r="F194" s="132"/>
      <c r="G194" s="148">
        <f t="shared" si="28"/>
        <v>-220849</v>
      </c>
      <c r="H194" s="276">
        <f t="shared" si="22"/>
        <v>-36931</v>
      </c>
      <c r="I194" s="129">
        <f t="shared" si="27"/>
        <v>-183918</v>
      </c>
      <c r="J194" s="129"/>
      <c r="K194" s="126"/>
      <c r="L194" s="280">
        <f t="shared" si="29"/>
        <v>-36931</v>
      </c>
      <c r="M194" s="280">
        <f t="shared" si="29"/>
        <v>-36931</v>
      </c>
      <c r="N194" s="280">
        <f t="shared" si="29"/>
        <v>-36931</v>
      </c>
      <c r="O194" s="280">
        <f t="shared" si="24"/>
        <v>-36931</v>
      </c>
      <c r="P194" s="155">
        <f t="shared" si="25"/>
        <v>-36194</v>
      </c>
      <c r="Q194" s="155">
        <f t="shared" si="26"/>
        <v>0</v>
      </c>
    </row>
    <row r="195" spans="1:17">
      <c r="A195" s="64">
        <v>12150</v>
      </c>
      <c r="B195" s="65" t="s">
        <v>189</v>
      </c>
      <c r="C195" s="20">
        <f>VLOOKUP(A195,'Contribution Allocation_Report'!$A$9:$D$310,4,FALSE)</f>
        <v>1.6980000000000001E-4</v>
      </c>
      <c r="D195" s="11"/>
      <c r="E195" s="277">
        <f>VLOOKUP(A195,Contributions_20!$A$9:$D$308,4,FALSE)</f>
        <v>1.8890000000000001E-4</v>
      </c>
      <c r="F195" s="132"/>
      <c r="G195" s="148">
        <f t="shared" si="28"/>
        <v>-92505</v>
      </c>
      <c r="H195" s="276">
        <f t="shared" si="22"/>
        <v>-15469</v>
      </c>
      <c r="I195" s="129">
        <f t="shared" si="27"/>
        <v>-77036</v>
      </c>
      <c r="J195" s="129"/>
      <c r="K195" s="126"/>
      <c r="L195" s="280">
        <f t="shared" si="29"/>
        <v>-15469</v>
      </c>
      <c r="M195" s="280">
        <f t="shared" si="29"/>
        <v>-15469</v>
      </c>
      <c r="N195" s="280">
        <f t="shared" si="29"/>
        <v>-15469</v>
      </c>
      <c r="O195" s="280">
        <f t="shared" si="24"/>
        <v>-15469</v>
      </c>
      <c r="P195" s="155">
        <f t="shared" si="25"/>
        <v>-15160</v>
      </c>
      <c r="Q195" s="155">
        <f t="shared" si="26"/>
        <v>0</v>
      </c>
    </row>
    <row r="196" spans="1:17">
      <c r="A196" s="62">
        <v>20060</v>
      </c>
      <c r="B196" s="66" t="s">
        <v>190</v>
      </c>
      <c r="C196" s="21">
        <f>VLOOKUP(A196,'Contribution Allocation_Report'!$A$9:$D$310,4,FALSE)</f>
        <v>6.2120000000000003E-4</v>
      </c>
      <c r="D196" s="11"/>
      <c r="E196" s="277">
        <f>VLOOKUP(A196,Contributions_20!$A$9:$D$308,4,FALSE)</f>
        <v>6.5110000000000005E-4</v>
      </c>
      <c r="F196" s="132"/>
      <c r="G196" s="148">
        <f t="shared" si="28"/>
        <v>-144811</v>
      </c>
      <c r="H196" s="276">
        <f t="shared" si="22"/>
        <v>-24216</v>
      </c>
      <c r="I196" s="129">
        <f t="shared" si="27"/>
        <v>-120595</v>
      </c>
      <c r="J196" s="129"/>
      <c r="K196" s="126"/>
      <c r="L196" s="280">
        <f t="shared" si="29"/>
        <v>-24216</v>
      </c>
      <c r="M196" s="280">
        <f t="shared" si="29"/>
        <v>-24216</v>
      </c>
      <c r="N196" s="280">
        <f t="shared" si="29"/>
        <v>-24216</v>
      </c>
      <c r="O196" s="280">
        <f t="shared" si="24"/>
        <v>-24216</v>
      </c>
      <c r="P196" s="155">
        <f t="shared" si="25"/>
        <v>-23731</v>
      </c>
      <c r="Q196" s="155">
        <f t="shared" si="26"/>
        <v>0</v>
      </c>
    </row>
    <row r="197" spans="1:17">
      <c r="A197" s="64">
        <v>1001</v>
      </c>
      <c r="B197" s="65" t="s">
        <v>191</v>
      </c>
      <c r="C197" s="20">
        <f>VLOOKUP(A197,'Contribution Allocation_Report'!$A$9:$D$310,4,FALSE)</f>
        <v>1.7228E-3</v>
      </c>
      <c r="D197" s="11"/>
      <c r="E197" s="277">
        <f>VLOOKUP(A197,Contributions_20!$A$9:$D$308,4,FALSE)</f>
        <v>2.2312E-3</v>
      </c>
      <c r="F197" s="132"/>
      <c r="G197" s="148">
        <f t="shared" si="28"/>
        <v>-2462267</v>
      </c>
      <c r="H197" s="276">
        <f t="shared" si="22"/>
        <v>-411750</v>
      </c>
      <c r="I197" s="129">
        <f t="shared" si="27"/>
        <v>-2050517</v>
      </c>
      <c r="J197" s="129"/>
      <c r="K197" s="126"/>
      <c r="L197" s="280">
        <f t="shared" si="29"/>
        <v>-411750</v>
      </c>
      <c r="M197" s="280">
        <f t="shared" si="29"/>
        <v>-411750</v>
      </c>
      <c r="N197" s="280">
        <f t="shared" si="29"/>
        <v>-411750</v>
      </c>
      <c r="O197" s="280">
        <f t="shared" si="24"/>
        <v>-411750</v>
      </c>
      <c r="P197" s="155">
        <f t="shared" si="25"/>
        <v>-403517</v>
      </c>
      <c r="Q197" s="155">
        <f t="shared" ref="Q197:Q262" si="30">+I197-SUM(L197:P197)</f>
        <v>0</v>
      </c>
    </row>
    <row r="198" spans="1:17">
      <c r="A198" s="62">
        <v>11035</v>
      </c>
      <c r="B198" s="66" t="s">
        <v>192</v>
      </c>
      <c r="C198" s="21">
        <f>VLOOKUP(A198,'Contribution Allocation_Report'!$A$9:$D$310,4,FALSE)</f>
        <v>3.9798999999999998E-3</v>
      </c>
      <c r="D198" s="11"/>
      <c r="E198" s="277">
        <f>VLOOKUP(A198,Contributions_20!$A$9:$D$308,4,FALSE)</f>
        <v>3.8403000000000001E-3</v>
      </c>
      <c r="F198" s="132"/>
      <c r="G198" s="148">
        <f t="shared" ref="G198:G263" si="31">ROUND((E198-C198)*$G$322,0)</f>
        <v>676106</v>
      </c>
      <c r="H198" s="276">
        <f t="shared" ref="H198:H262" si="32">ROUND(G198/5.98,0)</f>
        <v>113061</v>
      </c>
      <c r="I198" s="129">
        <f t="shared" ref="I198:I263" si="33">G198-H198</f>
        <v>563045</v>
      </c>
      <c r="J198" s="129"/>
      <c r="K198" s="126"/>
      <c r="L198" s="280">
        <f t="shared" ref="L198:N229" si="34">ROUND($I198/4.98,0)</f>
        <v>113061</v>
      </c>
      <c r="M198" s="280">
        <f t="shared" si="34"/>
        <v>113061</v>
      </c>
      <c r="N198" s="280">
        <f t="shared" si="34"/>
        <v>113061</v>
      </c>
      <c r="O198" s="280">
        <f t="shared" ref="O198:O262" si="35">ROUND($I198/4.98,0)</f>
        <v>113061</v>
      </c>
      <c r="P198" s="155">
        <f t="shared" ref="P198:P263" si="36">I198-SUM(L198:O198)</f>
        <v>110801</v>
      </c>
      <c r="Q198" s="155">
        <f t="shared" si="30"/>
        <v>0</v>
      </c>
    </row>
    <row r="199" spans="1:17">
      <c r="A199" s="64">
        <v>2320</v>
      </c>
      <c r="B199" s="65" t="s">
        <v>193</v>
      </c>
      <c r="C199" s="20">
        <f>VLOOKUP(A199,'Contribution Allocation_Report'!$A$9:$D$310,4,FALSE)</f>
        <v>4.7810000000000002E-4</v>
      </c>
      <c r="D199" s="11"/>
      <c r="E199" s="277">
        <f>VLOOKUP(A199,Contributions_20!$A$9:$D$308,4,FALSE)</f>
        <v>4.7330000000000001E-4</v>
      </c>
      <c r="F199" s="132"/>
      <c r="G199" s="148">
        <f t="shared" si="31"/>
        <v>23247</v>
      </c>
      <c r="H199" s="276">
        <f t="shared" si="32"/>
        <v>3887</v>
      </c>
      <c r="I199" s="129">
        <f t="shared" si="33"/>
        <v>19360</v>
      </c>
      <c r="J199" s="129"/>
      <c r="K199" s="126"/>
      <c r="L199" s="280">
        <f t="shared" si="34"/>
        <v>3888</v>
      </c>
      <c r="M199" s="280">
        <f t="shared" si="34"/>
        <v>3888</v>
      </c>
      <c r="N199" s="280">
        <f t="shared" si="34"/>
        <v>3888</v>
      </c>
      <c r="O199" s="280">
        <f t="shared" si="35"/>
        <v>3888</v>
      </c>
      <c r="P199" s="155">
        <f t="shared" si="36"/>
        <v>3808</v>
      </c>
      <c r="Q199" s="155">
        <f t="shared" si="30"/>
        <v>0</v>
      </c>
    </row>
    <row r="200" spans="1:17">
      <c r="A200" s="62">
        <v>28084</v>
      </c>
      <c r="B200" s="66" t="s">
        <v>194</v>
      </c>
      <c r="C200" s="21">
        <f>VLOOKUP(A200,'Contribution Allocation_Report'!$A$9:$D$310,4,FALSE)</f>
        <v>3.7800000000000003E-4</v>
      </c>
      <c r="D200" s="11"/>
      <c r="E200" s="277">
        <f>VLOOKUP(A200,Contributions_20!$A$9:$D$308,4,FALSE)</f>
        <v>3.6410000000000001E-4</v>
      </c>
      <c r="F200" s="132"/>
      <c r="G200" s="148">
        <f t="shared" si="31"/>
        <v>67320</v>
      </c>
      <c r="H200" s="276">
        <f t="shared" si="32"/>
        <v>11258</v>
      </c>
      <c r="I200" s="129">
        <f t="shared" si="33"/>
        <v>56062</v>
      </c>
      <c r="J200" s="129"/>
      <c r="K200" s="126"/>
      <c r="L200" s="280">
        <f t="shared" si="34"/>
        <v>11257</v>
      </c>
      <c r="M200" s="280">
        <f t="shared" si="34"/>
        <v>11257</v>
      </c>
      <c r="N200" s="280">
        <f t="shared" si="34"/>
        <v>11257</v>
      </c>
      <c r="O200" s="280">
        <f t="shared" si="35"/>
        <v>11257</v>
      </c>
      <c r="P200" s="155">
        <f t="shared" si="36"/>
        <v>11034</v>
      </c>
      <c r="Q200" s="155">
        <f t="shared" si="30"/>
        <v>0</v>
      </c>
    </row>
    <row r="201" spans="1:17">
      <c r="A201" s="64">
        <v>20125</v>
      </c>
      <c r="B201" s="65" t="s">
        <v>195</v>
      </c>
      <c r="C201" s="20">
        <f>VLOOKUP(A201,'Contribution Allocation_Report'!$A$9:$D$310,4,FALSE)</f>
        <v>4.4190000000000001E-4</v>
      </c>
      <c r="D201" s="11"/>
      <c r="E201" s="277">
        <f>VLOOKUP(A201,Contributions_20!$A$9:$D$308,4,FALSE)</f>
        <v>5.2349999999999999E-4</v>
      </c>
      <c r="F201" s="132"/>
      <c r="G201" s="148">
        <f>ROUND((E201-C201)*$G$322,0)</f>
        <v>-395203</v>
      </c>
      <c r="H201" s="276">
        <f t="shared" si="32"/>
        <v>-66087</v>
      </c>
      <c r="I201" s="129">
        <f t="shared" si="33"/>
        <v>-329116</v>
      </c>
      <c r="J201" s="129"/>
      <c r="K201" s="126"/>
      <c r="L201" s="280">
        <f t="shared" si="34"/>
        <v>-66088</v>
      </c>
      <c r="M201" s="280">
        <f t="shared" si="34"/>
        <v>-66088</v>
      </c>
      <c r="N201" s="280">
        <f t="shared" si="34"/>
        <v>-66088</v>
      </c>
      <c r="O201" s="280">
        <f t="shared" si="35"/>
        <v>-66088</v>
      </c>
      <c r="P201" s="155">
        <f t="shared" si="36"/>
        <v>-64764</v>
      </c>
      <c r="Q201" s="155">
        <f t="shared" si="30"/>
        <v>0</v>
      </c>
    </row>
    <row r="202" spans="1:17" s="142" customFormat="1">
      <c r="A202" s="64">
        <v>7445</v>
      </c>
      <c r="B202" s="65" t="s">
        <v>430</v>
      </c>
      <c r="C202" s="20">
        <f>VLOOKUP(A202,'Contribution Allocation_Report'!$A$9:$D$310,4,FALSE)</f>
        <v>1.011E-4</v>
      </c>
      <c r="D202" s="11"/>
      <c r="E202" s="277">
        <f>VLOOKUP(A202,Contributions_20!$A$9:$D$308,4,FALSE)</f>
        <v>5.2599999999999998E-5</v>
      </c>
      <c r="F202" s="132"/>
      <c r="G202" s="278">
        <f>ROUND((E202-C202)*$G$322,0)</f>
        <v>234894</v>
      </c>
      <c r="H202" s="276">
        <f t="shared" si="32"/>
        <v>39280</v>
      </c>
      <c r="I202" s="276">
        <f t="shared" si="33"/>
        <v>195614</v>
      </c>
      <c r="J202" s="129"/>
      <c r="K202" s="126"/>
      <c r="L202" s="280">
        <f t="shared" si="34"/>
        <v>39280</v>
      </c>
      <c r="M202" s="280">
        <f t="shared" si="34"/>
        <v>39280</v>
      </c>
      <c r="N202" s="280">
        <f t="shared" si="34"/>
        <v>39280</v>
      </c>
      <c r="O202" s="280">
        <f t="shared" si="35"/>
        <v>39280</v>
      </c>
      <c r="P202" s="281">
        <f>I202-SUM(L202:O202)</f>
        <v>38494</v>
      </c>
      <c r="Q202" s="281">
        <f>+I202-SUM(L202:P202)</f>
        <v>0</v>
      </c>
    </row>
    <row r="203" spans="1:17">
      <c r="A203" s="62">
        <v>4170</v>
      </c>
      <c r="B203" s="66" t="s">
        <v>196</v>
      </c>
      <c r="C203" s="21">
        <f>VLOOKUP(A203,'Contribution Allocation_Report'!$A$9:$D$310,4,FALSE)</f>
        <v>2.16E-5</v>
      </c>
      <c r="D203" s="11"/>
      <c r="E203" s="277">
        <f>VLOOKUP(A203,Contributions_20!$A$9:$D$308,4,FALSE)</f>
        <v>7.5599999999999994E-5</v>
      </c>
      <c r="F203" s="132"/>
      <c r="G203" s="278">
        <f>ROUND((E203-C203)*$G$322,0)</f>
        <v>-261531</v>
      </c>
      <c r="H203" s="276">
        <f t="shared" si="32"/>
        <v>-43734</v>
      </c>
      <c r="I203" s="276">
        <f t="shared" si="33"/>
        <v>-217797</v>
      </c>
      <c r="J203" s="129"/>
      <c r="K203" s="126"/>
      <c r="L203" s="280">
        <f t="shared" si="34"/>
        <v>-43734</v>
      </c>
      <c r="M203" s="280">
        <f t="shared" si="34"/>
        <v>-43734</v>
      </c>
      <c r="N203" s="280">
        <f t="shared" si="34"/>
        <v>-43734</v>
      </c>
      <c r="O203" s="280">
        <f t="shared" si="35"/>
        <v>-43734</v>
      </c>
      <c r="P203" s="155">
        <f t="shared" si="36"/>
        <v>-42861</v>
      </c>
      <c r="Q203" s="155">
        <f t="shared" si="30"/>
        <v>0</v>
      </c>
    </row>
    <row r="204" spans="1:17">
      <c r="A204" s="64">
        <v>9029</v>
      </c>
      <c r="B204" s="65" t="s">
        <v>197</v>
      </c>
      <c r="C204" s="20">
        <f>VLOOKUP(A204,'Contribution Allocation_Report'!$A$9:$D$310,4,FALSE)</f>
        <v>1.1731999999999999E-3</v>
      </c>
      <c r="D204" s="11"/>
      <c r="E204" s="277">
        <f>VLOOKUP(A204,Contributions_20!$A$9:$D$308,4,FALSE)</f>
        <v>1.1689000000000001E-3</v>
      </c>
      <c r="F204" s="132"/>
      <c r="G204" s="148">
        <f t="shared" si="31"/>
        <v>20826</v>
      </c>
      <c r="H204" s="276">
        <f t="shared" si="32"/>
        <v>3483</v>
      </c>
      <c r="I204" s="276">
        <f t="shared" si="33"/>
        <v>17343</v>
      </c>
      <c r="J204" s="129"/>
      <c r="K204" s="126"/>
      <c r="L204" s="280">
        <f t="shared" si="34"/>
        <v>3483</v>
      </c>
      <c r="M204" s="280">
        <f t="shared" si="34"/>
        <v>3483</v>
      </c>
      <c r="N204" s="280">
        <f t="shared" si="34"/>
        <v>3483</v>
      </c>
      <c r="O204" s="280">
        <f t="shared" si="35"/>
        <v>3483</v>
      </c>
      <c r="P204" s="155">
        <f t="shared" si="36"/>
        <v>3411</v>
      </c>
      <c r="Q204" s="155">
        <f t="shared" si="30"/>
        <v>0</v>
      </c>
    </row>
    <row r="205" spans="1:17">
      <c r="A205" s="62">
        <v>2580</v>
      </c>
      <c r="B205" s="66" t="s">
        <v>198</v>
      </c>
      <c r="C205" s="21">
        <f>VLOOKUP(A205,'Contribution Allocation_Report'!$A$9:$D$310,4,FALSE)</f>
        <v>1.6990000000000001E-4</v>
      </c>
      <c r="D205" s="11"/>
      <c r="E205" s="277">
        <f>VLOOKUP(A205,Contributions_20!$A$9:$D$308,4,FALSE)</f>
        <v>1.7420000000000001E-4</v>
      </c>
      <c r="F205" s="132"/>
      <c r="G205" s="148">
        <f t="shared" si="31"/>
        <v>-20826</v>
      </c>
      <c r="H205" s="276">
        <f t="shared" si="32"/>
        <v>-3483</v>
      </c>
      <c r="I205" s="129">
        <f t="shared" si="33"/>
        <v>-17343</v>
      </c>
      <c r="J205" s="129"/>
      <c r="K205" s="126"/>
      <c r="L205" s="280">
        <f t="shared" si="34"/>
        <v>-3483</v>
      </c>
      <c r="M205" s="280">
        <f t="shared" si="34"/>
        <v>-3483</v>
      </c>
      <c r="N205" s="280">
        <f t="shared" si="34"/>
        <v>-3483</v>
      </c>
      <c r="O205" s="280">
        <f t="shared" si="35"/>
        <v>-3483</v>
      </c>
      <c r="P205" s="155">
        <f t="shared" si="36"/>
        <v>-3411</v>
      </c>
      <c r="Q205" s="155">
        <f t="shared" si="30"/>
        <v>0</v>
      </c>
    </row>
    <row r="206" spans="1:17">
      <c r="A206" s="64">
        <v>20312</v>
      </c>
      <c r="B206" s="65" t="s">
        <v>199</v>
      </c>
      <c r="C206" s="20">
        <f>VLOOKUP(A206,'Contribution Allocation_Report'!$A$9:$D$310,4,FALSE)</f>
        <v>1.2860000000000001E-4</v>
      </c>
      <c r="D206" s="11"/>
      <c r="E206" s="277">
        <f>VLOOKUP(A206,Contributions_20!$A$9:$D$308,4,FALSE)</f>
        <v>1.17E-4</v>
      </c>
      <c r="F206" s="132"/>
      <c r="G206" s="148">
        <f t="shared" si="31"/>
        <v>56181</v>
      </c>
      <c r="H206" s="276">
        <f t="shared" si="32"/>
        <v>9395</v>
      </c>
      <c r="I206" s="129">
        <f t="shared" si="33"/>
        <v>46786</v>
      </c>
      <c r="J206" s="129"/>
      <c r="K206" s="126"/>
      <c r="L206" s="280">
        <f t="shared" si="34"/>
        <v>9395</v>
      </c>
      <c r="M206" s="280">
        <f t="shared" si="34"/>
        <v>9395</v>
      </c>
      <c r="N206" s="280">
        <f t="shared" si="34"/>
        <v>9395</v>
      </c>
      <c r="O206" s="280">
        <f t="shared" si="35"/>
        <v>9395</v>
      </c>
      <c r="P206" s="155">
        <f t="shared" si="36"/>
        <v>9206</v>
      </c>
      <c r="Q206" s="155">
        <f t="shared" si="30"/>
        <v>0</v>
      </c>
    </row>
    <row r="207" spans="1:17">
      <c r="A207" s="62">
        <v>26150</v>
      </c>
      <c r="B207" s="66" t="s">
        <v>200</v>
      </c>
      <c r="C207" s="21">
        <f>VLOOKUP(A207,'Contribution Allocation_Report'!$A$9:$D$310,4,FALSE)</f>
        <v>8.4789999999999996E-4</v>
      </c>
      <c r="D207" s="11"/>
      <c r="E207" s="277">
        <f>VLOOKUP(A207,Contributions_20!$A$9:$D$308,4,FALSE)</f>
        <v>8.6689999999999998E-4</v>
      </c>
      <c r="F207" s="132"/>
      <c r="G207" s="148">
        <f t="shared" si="31"/>
        <v>-92020</v>
      </c>
      <c r="H207" s="276">
        <f t="shared" si="32"/>
        <v>-15388</v>
      </c>
      <c r="I207" s="129">
        <f t="shared" si="33"/>
        <v>-76632</v>
      </c>
      <c r="J207" s="129"/>
      <c r="K207" s="126"/>
      <c r="L207" s="280">
        <f t="shared" si="34"/>
        <v>-15388</v>
      </c>
      <c r="M207" s="280">
        <f t="shared" si="34"/>
        <v>-15388</v>
      </c>
      <c r="N207" s="280">
        <f t="shared" si="34"/>
        <v>-15388</v>
      </c>
      <c r="O207" s="280">
        <f t="shared" si="35"/>
        <v>-15388</v>
      </c>
      <c r="P207" s="155">
        <f t="shared" si="36"/>
        <v>-15080</v>
      </c>
      <c r="Q207" s="155">
        <f t="shared" si="30"/>
        <v>0</v>
      </c>
    </row>
    <row r="208" spans="1:17">
      <c r="A208" s="64">
        <v>5016</v>
      </c>
      <c r="B208" s="65" t="s">
        <v>201</v>
      </c>
      <c r="C208" s="20">
        <f>VLOOKUP(A208,'Contribution Allocation_Report'!$A$9:$D$310,4,FALSE)</f>
        <v>9.8300000000000004E-5</v>
      </c>
      <c r="D208" s="11"/>
      <c r="E208" s="277">
        <f>VLOOKUP(A208,Contributions_20!$A$9:$D$308,4,FALSE)</f>
        <v>9.8099999999999999E-5</v>
      </c>
      <c r="F208" s="132"/>
      <c r="G208" s="148">
        <f t="shared" si="31"/>
        <v>969</v>
      </c>
      <c r="H208" s="276">
        <f t="shared" si="32"/>
        <v>162</v>
      </c>
      <c r="I208" s="129">
        <f t="shared" si="33"/>
        <v>807</v>
      </c>
      <c r="J208" s="129"/>
      <c r="K208" s="126"/>
      <c r="L208" s="280">
        <f t="shared" si="34"/>
        <v>162</v>
      </c>
      <c r="M208" s="280">
        <f t="shared" si="34"/>
        <v>162</v>
      </c>
      <c r="N208" s="280">
        <f t="shared" si="34"/>
        <v>162</v>
      </c>
      <c r="O208" s="280">
        <f t="shared" si="35"/>
        <v>162</v>
      </c>
      <c r="P208" s="155">
        <f t="shared" si="36"/>
        <v>159</v>
      </c>
      <c r="Q208" s="155">
        <f t="shared" si="30"/>
        <v>0</v>
      </c>
    </row>
    <row r="209" spans="1:17">
      <c r="A209" s="62">
        <v>6150</v>
      </c>
      <c r="B209" s="66" t="s">
        <v>202</v>
      </c>
      <c r="C209" s="21">
        <f>VLOOKUP(A209,'Contribution Allocation_Report'!$A$9:$D$310,4,FALSE)</f>
        <v>8.1600000000000005E-5</v>
      </c>
      <c r="D209" s="11"/>
      <c r="E209" s="277">
        <f>VLOOKUP(A209,Contributions_20!$A$9:$D$308,4,FALSE)</f>
        <v>9.1600000000000004E-5</v>
      </c>
      <c r="F209" s="132"/>
      <c r="G209" s="148">
        <f t="shared" si="31"/>
        <v>-48432</v>
      </c>
      <c r="H209" s="276">
        <f t="shared" si="32"/>
        <v>-8099</v>
      </c>
      <c r="I209" s="129">
        <f t="shared" si="33"/>
        <v>-40333</v>
      </c>
      <c r="J209" s="129"/>
      <c r="K209" s="126"/>
      <c r="L209" s="280">
        <f t="shared" si="34"/>
        <v>-8099</v>
      </c>
      <c r="M209" s="280">
        <f t="shared" si="34"/>
        <v>-8099</v>
      </c>
      <c r="N209" s="280">
        <f t="shared" si="34"/>
        <v>-8099</v>
      </c>
      <c r="O209" s="280">
        <f t="shared" si="35"/>
        <v>-8099</v>
      </c>
      <c r="P209" s="155">
        <f t="shared" si="36"/>
        <v>-7937</v>
      </c>
      <c r="Q209" s="155">
        <f t="shared" si="30"/>
        <v>0</v>
      </c>
    </row>
    <row r="210" spans="1:17">
      <c r="A210" s="64">
        <v>4480</v>
      </c>
      <c r="B210" s="65" t="s">
        <v>203</v>
      </c>
      <c r="C210" s="20">
        <f>VLOOKUP(A210,'Contribution Allocation_Report'!$A$9:$D$310,4,FALSE)</f>
        <v>1.6750000000000001E-4</v>
      </c>
      <c r="D210" s="11"/>
      <c r="E210" s="277">
        <f>VLOOKUP(A210,Contributions_20!$A$9:$D$308,4,FALSE)</f>
        <v>1.8770000000000001E-4</v>
      </c>
      <c r="F210" s="132"/>
      <c r="G210" s="148">
        <f t="shared" si="31"/>
        <v>-97832</v>
      </c>
      <c r="H210" s="276">
        <f t="shared" si="32"/>
        <v>-16360</v>
      </c>
      <c r="I210" s="129">
        <f t="shared" si="33"/>
        <v>-81472</v>
      </c>
      <c r="J210" s="129"/>
      <c r="K210" s="126"/>
      <c r="L210" s="280">
        <f t="shared" si="34"/>
        <v>-16360</v>
      </c>
      <c r="M210" s="280">
        <f t="shared" si="34"/>
        <v>-16360</v>
      </c>
      <c r="N210" s="280">
        <f t="shared" si="34"/>
        <v>-16360</v>
      </c>
      <c r="O210" s="280">
        <f t="shared" si="35"/>
        <v>-16360</v>
      </c>
      <c r="P210" s="155">
        <f t="shared" si="36"/>
        <v>-16032</v>
      </c>
      <c r="Q210" s="155">
        <f t="shared" si="30"/>
        <v>0</v>
      </c>
    </row>
    <row r="211" spans="1:17">
      <c r="A211" s="62">
        <v>28085</v>
      </c>
      <c r="B211" s="66" t="s">
        <v>204</v>
      </c>
      <c r="C211" s="21">
        <f>VLOOKUP(A211,'Contribution Allocation_Report'!$A$9:$D$310,4,FALSE)</f>
        <v>3.0969999999999999E-4</v>
      </c>
      <c r="D211" s="11"/>
      <c r="E211" s="277">
        <f>VLOOKUP(A211,Contributions_20!$A$9:$D$308,4,FALSE)</f>
        <v>3.3050000000000001E-4</v>
      </c>
      <c r="F211" s="132"/>
      <c r="G211" s="148">
        <f t="shared" si="31"/>
        <v>-100738</v>
      </c>
      <c r="H211" s="276">
        <f t="shared" si="32"/>
        <v>-16846</v>
      </c>
      <c r="I211" s="129">
        <f t="shared" si="33"/>
        <v>-83892</v>
      </c>
      <c r="J211" s="129"/>
      <c r="K211" s="126"/>
      <c r="L211" s="280">
        <f t="shared" si="34"/>
        <v>-16846</v>
      </c>
      <c r="M211" s="280">
        <f t="shared" si="34"/>
        <v>-16846</v>
      </c>
      <c r="N211" s="280">
        <f t="shared" si="34"/>
        <v>-16846</v>
      </c>
      <c r="O211" s="280">
        <f t="shared" si="35"/>
        <v>-16846</v>
      </c>
      <c r="P211" s="155">
        <f t="shared" si="36"/>
        <v>-16508</v>
      </c>
      <c r="Q211" s="155">
        <f t="shared" si="30"/>
        <v>0</v>
      </c>
    </row>
    <row r="212" spans="1:17">
      <c r="A212" s="64">
        <v>3240</v>
      </c>
      <c r="B212" s="65" t="s">
        <v>205</v>
      </c>
      <c r="C212" s="20">
        <f>VLOOKUP(A212,'Contribution Allocation_Report'!$A$9:$D$310,4,FALSE)</f>
        <v>2.0485999999999998E-3</v>
      </c>
      <c r="D212" s="11"/>
      <c r="E212" s="277">
        <f>VLOOKUP(A212,Contributions_20!$A$9:$D$308,4,FALSE)</f>
        <v>1.9783000000000001E-3</v>
      </c>
      <c r="F212" s="132"/>
      <c r="G212" s="148">
        <f t="shared" si="31"/>
        <v>340475</v>
      </c>
      <c r="H212" s="276">
        <f t="shared" si="32"/>
        <v>56936</v>
      </c>
      <c r="I212" s="129">
        <f t="shared" si="33"/>
        <v>283539</v>
      </c>
      <c r="J212" s="129"/>
      <c r="K212" s="126"/>
      <c r="L212" s="280">
        <f t="shared" si="34"/>
        <v>56936</v>
      </c>
      <c r="M212" s="280">
        <f t="shared" si="34"/>
        <v>56936</v>
      </c>
      <c r="N212" s="280">
        <f t="shared" si="34"/>
        <v>56936</v>
      </c>
      <c r="O212" s="280">
        <f t="shared" si="35"/>
        <v>56936</v>
      </c>
      <c r="P212" s="155">
        <f t="shared" si="36"/>
        <v>55795</v>
      </c>
      <c r="Q212" s="155">
        <f t="shared" si="30"/>
        <v>0</v>
      </c>
    </row>
    <row r="213" spans="1:17">
      <c r="A213" s="62">
        <v>12326</v>
      </c>
      <c r="B213" s="66" t="s">
        <v>206</v>
      </c>
      <c r="C213" s="21">
        <f>VLOOKUP(A213,'Contribution Allocation_Report'!$A$9:$D$310,4,FALSE)</f>
        <v>1.093E-4</v>
      </c>
      <c r="D213" s="11"/>
      <c r="E213" s="277">
        <f>VLOOKUP(A213,Contributions_20!$A$9:$D$308,4,FALSE)</f>
        <v>1.1680000000000001E-4</v>
      </c>
      <c r="F213" s="132"/>
      <c r="G213" s="148">
        <f t="shared" si="31"/>
        <v>-36324</v>
      </c>
      <c r="H213" s="276">
        <f t="shared" si="32"/>
        <v>-6074</v>
      </c>
      <c r="I213" s="129">
        <f t="shared" si="33"/>
        <v>-30250</v>
      </c>
      <c r="J213" s="129"/>
      <c r="K213" s="126"/>
      <c r="L213" s="280">
        <f t="shared" si="34"/>
        <v>-6074</v>
      </c>
      <c r="M213" s="280">
        <f t="shared" si="34"/>
        <v>-6074</v>
      </c>
      <c r="N213" s="280">
        <f t="shared" si="34"/>
        <v>-6074</v>
      </c>
      <c r="O213" s="280">
        <f t="shared" si="35"/>
        <v>-6074</v>
      </c>
      <c r="P213" s="155">
        <f t="shared" si="36"/>
        <v>-5954</v>
      </c>
      <c r="Q213" s="155">
        <f t="shared" si="30"/>
        <v>0</v>
      </c>
    </row>
    <row r="214" spans="1:17">
      <c r="A214" s="64">
        <v>29123</v>
      </c>
      <c r="B214" s="65" t="s">
        <v>207</v>
      </c>
      <c r="C214" s="20">
        <f>VLOOKUP(A214,'Contribution Allocation_Report'!$A$9:$D$310,4,FALSE)</f>
        <v>2.23807E-2</v>
      </c>
      <c r="D214" s="11"/>
      <c r="E214" s="277">
        <f>VLOOKUP(A214,Contributions_20!$A$9:$D$308,4,FALSE)</f>
        <v>2.2938500000000001E-2</v>
      </c>
      <c r="F214" s="132"/>
      <c r="G214" s="148">
        <f t="shared" si="31"/>
        <v>-2701520</v>
      </c>
      <c r="H214" s="276">
        <f t="shared" si="32"/>
        <v>-451759</v>
      </c>
      <c r="I214" s="129">
        <f t="shared" si="33"/>
        <v>-2249761</v>
      </c>
      <c r="J214" s="129"/>
      <c r="K214" s="126"/>
      <c r="L214" s="280">
        <f t="shared" si="34"/>
        <v>-451759</v>
      </c>
      <c r="M214" s="280">
        <f t="shared" si="34"/>
        <v>-451759</v>
      </c>
      <c r="N214" s="280">
        <f t="shared" si="34"/>
        <v>-451759</v>
      </c>
      <c r="O214" s="280">
        <f t="shared" si="35"/>
        <v>-451759</v>
      </c>
      <c r="P214" s="155">
        <f t="shared" si="36"/>
        <v>-442725</v>
      </c>
      <c r="Q214" s="155">
        <f t="shared" si="30"/>
        <v>0</v>
      </c>
    </row>
    <row r="215" spans="1:17">
      <c r="A215" s="62">
        <v>2318</v>
      </c>
      <c r="B215" s="66" t="s">
        <v>208</v>
      </c>
      <c r="C215" s="21">
        <f>VLOOKUP(A215,'Contribution Allocation_Report'!$A$9:$D$310,4,FALSE)</f>
        <v>5.0940000000000002E-4</v>
      </c>
      <c r="D215" s="11"/>
      <c r="E215" s="277">
        <f>VLOOKUP(A215,Contributions_20!$A$9:$D$308,4,FALSE)</f>
        <v>4.9629999999999997E-4</v>
      </c>
      <c r="F215" s="132"/>
      <c r="G215" s="148">
        <f t="shared" si="31"/>
        <v>63446</v>
      </c>
      <c r="H215" s="276">
        <f t="shared" si="32"/>
        <v>10610</v>
      </c>
      <c r="I215" s="129">
        <f t="shared" si="33"/>
        <v>52836</v>
      </c>
      <c r="J215" s="129"/>
      <c r="K215" s="126"/>
      <c r="L215" s="280">
        <f t="shared" si="34"/>
        <v>10610</v>
      </c>
      <c r="M215" s="280">
        <f t="shared" si="34"/>
        <v>10610</v>
      </c>
      <c r="N215" s="280">
        <f t="shared" si="34"/>
        <v>10610</v>
      </c>
      <c r="O215" s="280">
        <f t="shared" si="35"/>
        <v>10610</v>
      </c>
      <c r="P215" s="155">
        <f t="shared" si="36"/>
        <v>10396</v>
      </c>
      <c r="Q215" s="155">
        <f t="shared" si="30"/>
        <v>0</v>
      </c>
    </row>
    <row r="216" spans="1:17">
      <c r="A216" s="64">
        <v>3250</v>
      </c>
      <c r="B216" s="65" t="s">
        <v>209</v>
      </c>
      <c r="C216" s="20">
        <f>VLOOKUP(A216,'Contribution Allocation_Report'!$A$9:$D$310,4,FALSE)</f>
        <v>6.8579999999999997E-4</v>
      </c>
      <c r="D216" s="11"/>
      <c r="E216" s="277">
        <f>VLOOKUP(A216,Contributions_20!$A$9:$D$308,4,FALSE)</f>
        <v>7.0810000000000003E-4</v>
      </c>
      <c r="F216" s="132"/>
      <c r="G216" s="148">
        <f t="shared" si="31"/>
        <v>-108003</v>
      </c>
      <c r="H216" s="276">
        <f t="shared" si="32"/>
        <v>-18061</v>
      </c>
      <c r="I216" s="129">
        <f t="shared" si="33"/>
        <v>-89942</v>
      </c>
      <c r="J216" s="129"/>
      <c r="K216" s="126"/>
      <c r="L216" s="280">
        <f t="shared" si="34"/>
        <v>-18061</v>
      </c>
      <c r="M216" s="280">
        <f t="shared" si="34"/>
        <v>-18061</v>
      </c>
      <c r="N216" s="280">
        <f t="shared" si="34"/>
        <v>-18061</v>
      </c>
      <c r="O216" s="280">
        <f t="shared" si="35"/>
        <v>-18061</v>
      </c>
      <c r="P216" s="155">
        <f t="shared" si="36"/>
        <v>-17698</v>
      </c>
      <c r="Q216" s="155">
        <f t="shared" si="30"/>
        <v>0</v>
      </c>
    </row>
    <row r="217" spans="1:17">
      <c r="A217" s="62">
        <v>2313</v>
      </c>
      <c r="B217" s="66" t="s">
        <v>210</v>
      </c>
      <c r="C217" s="21">
        <f>VLOOKUP(A217,'Contribution Allocation_Report'!$A$9:$D$310,4,FALSE)</f>
        <v>7.0400000000000004E-5</v>
      </c>
      <c r="D217" s="11"/>
      <c r="E217" s="277">
        <f>VLOOKUP(A217,Contributions_20!$A$9:$D$308,4,FALSE)</f>
        <v>6.5300000000000002E-5</v>
      </c>
      <c r="F217" s="132"/>
      <c r="G217" s="148">
        <f t="shared" si="31"/>
        <v>24700</v>
      </c>
      <c r="H217" s="276">
        <f t="shared" si="32"/>
        <v>4130</v>
      </c>
      <c r="I217" s="129">
        <f t="shared" si="33"/>
        <v>20570</v>
      </c>
      <c r="J217" s="129"/>
      <c r="K217" s="126"/>
      <c r="L217" s="280">
        <f t="shared" si="34"/>
        <v>4131</v>
      </c>
      <c r="M217" s="280">
        <f t="shared" si="34"/>
        <v>4131</v>
      </c>
      <c r="N217" s="280">
        <f t="shared" si="34"/>
        <v>4131</v>
      </c>
      <c r="O217" s="280">
        <f t="shared" si="35"/>
        <v>4131</v>
      </c>
      <c r="P217" s="155">
        <f t="shared" si="36"/>
        <v>4046</v>
      </c>
      <c r="Q217" s="155">
        <f t="shared" si="30"/>
        <v>0</v>
      </c>
    </row>
    <row r="218" spans="1:17">
      <c r="A218" s="64">
        <v>4011</v>
      </c>
      <c r="B218" s="65" t="s">
        <v>211</v>
      </c>
      <c r="C218" s="20">
        <f>VLOOKUP(A218,'Contribution Allocation_Report'!$A$9:$D$310,4,FALSE)</f>
        <v>1.26824E-2</v>
      </c>
      <c r="D218" s="11"/>
      <c r="E218" s="277">
        <f>VLOOKUP(A218,Contributions_20!$A$9:$D$308,4,FALSE)</f>
        <v>1.2389000000000001E-2</v>
      </c>
      <c r="F218" s="132"/>
      <c r="G218" s="148">
        <f t="shared" si="31"/>
        <v>1420986</v>
      </c>
      <c r="H218" s="276">
        <f t="shared" si="32"/>
        <v>237623</v>
      </c>
      <c r="I218" s="129">
        <f t="shared" si="33"/>
        <v>1183363</v>
      </c>
      <c r="J218" s="129"/>
      <c r="K218" s="126"/>
      <c r="L218" s="280">
        <f t="shared" si="34"/>
        <v>237623</v>
      </c>
      <c r="M218" s="280">
        <f t="shared" si="34"/>
        <v>237623</v>
      </c>
      <c r="N218" s="280">
        <f t="shared" si="34"/>
        <v>237623</v>
      </c>
      <c r="O218" s="280">
        <f t="shared" si="35"/>
        <v>237623</v>
      </c>
      <c r="P218" s="155">
        <f t="shared" si="36"/>
        <v>232871</v>
      </c>
      <c r="Q218" s="155">
        <f t="shared" si="30"/>
        <v>0</v>
      </c>
    </row>
    <row r="219" spans="1:17">
      <c r="A219" s="62">
        <v>31092</v>
      </c>
      <c r="B219" s="66" t="s">
        <v>212</v>
      </c>
      <c r="C219" s="21">
        <f>VLOOKUP(A219,'Contribution Allocation_Report'!$A$9:$D$310,4,FALSE)</f>
        <v>2.042E-4</v>
      </c>
      <c r="D219" s="11"/>
      <c r="E219" s="277">
        <f>VLOOKUP(A219,Contributions_20!$A$9:$D$308,4,FALSE)</f>
        <v>1.9550000000000001E-4</v>
      </c>
      <c r="F219" s="132"/>
      <c r="G219" s="148">
        <f t="shared" si="31"/>
        <v>42136</v>
      </c>
      <c r="H219" s="276">
        <f t="shared" si="32"/>
        <v>7046</v>
      </c>
      <c r="I219" s="129">
        <f t="shared" si="33"/>
        <v>35090</v>
      </c>
      <c r="J219" s="129"/>
      <c r="K219" s="126"/>
      <c r="L219" s="280">
        <f t="shared" si="34"/>
        <v>7046</v>
      </c>
      <c r="M219" s="280">
        <f t="shared" si="34"/>
        <v>7046</v>
      </c>
      <c r="N219" s="280">
        <f t="shared" si="34"/>
        <v>7046</v>
      </c>
      <c r="O219" s="280">
        <f t="shared" si="35"/>
        <v>7046</v>
      </c>
      <c r="P219" s="155">
        <f t="shared" si="36"/>
        <v>6906</v>
      </c>
      <c r="Q219" s="155">
        <f t="shared" si="30"/>
        <v>0</v>
      </c>
    </row>
    <row r="220" spans="1:17">
      <c r="A220" s="127">
        <v>26081</v>
      </c>
      <c r="B220" s="128" t="s">
        <v>213</v>
      </c>
      <c r="C220" s="20">
        <f>VLOOKUP(A220,'Contribution Allocation_Report'!$A$9:$D$310,4,FALSE)</f>
        <v>2.2295000000000001E-3</v>
      </c>
      <c r="D220" s="11"/>
      <c r="E220" s="277">
        <f>VLOOKUP(A220,Contributions_20!$A$9:$D$308,4,FALSE)</f>
        <v>2.317E-3</v>
      </c>
      <c r="F220" s="132"/>
      <c r="G220" s="148">
        <f t="shared" si="31"/>
        <v>-423777</v>
      </c>
      <c r="H220" s="276">
        <f t="shared" si="32"/>
        <v>-70866</v>
      </c>
      <c r="I220" s="129">
        <f t="shared" si="33"/>
        <v>-352911</v>
      </c>
      <c r="J220" s="129"/>
      <c r="K220" s="126"/>
      <c r="L220" s="280">
        <f t="shared" si="34"/>
        <v>-70866</v>
      </c>
      <c r="M220" s="280">
        <f t="shared" si="34"/>
        <v>-70866</v>
      </c>
      <c r="N220" s="280">
        <f t="shared" si="34"/>
        <v>-70866</v>
      </c>
      <c r="O220" s="280">
        <f t="shared" si="35"/>
        <v>-70866</v>
      </c>
      <c r="P220" s="155">
        <f t="shared" si="36"/>
        <v>-69447</v>
      </c>
      <c r="Q220" s="155">
        <f t="shared" si="30"/>
        <v>0</v>
      </c>
    </row>
    <row r="221" spans="1:17">
      <c r="A221" s="62">
        <v>29305</v>
      </c>
      <c r="B221" s="66" t="s">
        <v>214</v>
      </c>
      <c r="C221" s="21">
        <f>VLOOKUP(A221,'Contribution Allocation_Report'!$A$9:$D$310,4,FALSE)</f>
        <v>1.8129999999999999E-4</v>
      </c>
      <c r="D221" s="11"/>
      <c r="E221" s="277">
        <f>VLOOKUP(A221,Contributions_20!$A$9:$D$308,4,FALSE)</f>
        <v>1.9430000000000001E-4</v>
      </c>
      <c r="F221" s="132"/>
      <c r="G221" s="148">
        <f t="shared" si="31"/>
        <v>-62961</v>
      </c>
      <c r="H221" s="276">
        <f t="shared" si="32"/>
        <v>-10529</v>
      </c>
      <c r="I221" s="129">
        <f t="shared" si="33"/>
        <v>-52432</v>
      </c>
      <c r="J221" s="129"/>
      <c r="K221" s="126"/>
      <c r="L221" s="280">
        <f t="shared" si="34"/>
        <v>-10529</v>
      </c>
      <c r="M221" s="280">
        <f t="shared" si="34"/>
        <v>-10529</v>
      </c>
      <c r="N221" s="280">
        <f t="shared" si="34"/>
        <v>-10529</v>
      </c>
      <c r="O221" s="280">
        <f t="shared" si="35"/>
        <v>-10529</v>
      </c>
      <c r="P221" s="155">
        <f t="shared" si="36"/>
        <v>-10316</v>
      </c>
      <c r="Q221" s="155">
        <f t="shared" si="30"/>
        <v>0</v>
      </c>
    </row>
    <row r="222" spans="1:17">
      <c r="A222" s="64">
        <v>10032</v>
      </c>
      <c r="B222" s="65" t="s">
        <v>215</v>
      </c>
      <c r="C222" s="20">
        <f>VLOOKUP(A222,'Contribution Allocation_Report'!$A$9:$D$310,4,FALSE)</f>
        <v>2.565E-4</v>
      </c>
      <c r="D222" s="11"/>
      <c r="E222" s="277">
        <f>VLOOKUP(A222,Contributions_20!$A$9:$D$308,4,FALSE)</f>
        <v>2.6190000000000002E-4</v>
      </c>
      <c r="F222" s="132"/>
      <c r="G222" s="148">
        <f t="shared" si="31"/>
        <v>-26153</v>
      </c>
      <c r="H222" s="276">
        <f t="shared" si="32"/>
        <v>-4373</v>
      </c>
      <c r="I222" s="129">
        <f t="shared" si="33"/>
        <v>-21780</v>
      </c>
      <c r="J222" s="129"/>
      <c r="K222" s="126"/>
      <c r="L222" s="280">
        <f t="shared" si="34"/>
        <v>-4373</v>
      </c>
      <c r="M222" s="280">
        <f t="shared" si="34"/>
        <v>-4373</v>
      </c>
      <c r="N222" s="280">
        <f t="shared" si="34"/>
        <v>-4373</v>
      </c>
      <c r="O222" s="280">
        <f t="shared" si="35"/>
        <v>-4373</v>
      </c>
      <c r="P222" s="155">
        <f t="shared" si="36"/>
        <v>-4288</v>
      </c>
      <c r="Q222" s="155">
        <f t="shared" si="30"/>
        <v>0</v>
      </c>
    </row>
    <row r="223" spans="1:17">
      <c r="A223" s="62">
        <v>32107</v>
      </c>
      <c r="B223" s="66" t="s">
        <v>216</v>
      </c>
      <c r="C223" s="21">
        <f>VLOOKUP(A223,'Contribution Allocation_Report'!$A$9:$D$310,4,FALSE)</f>
        <v>3.2539999999999999E-4</v>
      </c>
      <c r="D223" s="11"/>
      <c r="E223" s="277">
        <f>VLOOKUP(A223,Contributions_20!$A$9:$D$308,4,FALSE)</f>
        <v>3.3930000000000001E-4</v>
      </c>
      <c r="F223" s="132"/>
      <c r="G223" s="148">
        <f t="shared" si="31"/>
        <v>-67320</v>
      </c>
      <c r="H223" s="276">
        <f t="shared" si="32"/>
        <v>-11258</v>
      </c>
      <c r="I223" s="129">
        <f t="shared" si="33"/>
        <v>-56062</v>
      </c>
      <c r="J223" s="129"/>
      <c r="K223" s="126"/>
      <c r="L223" s="280">
        <f t="shared" si="34"/>
        <v>-11257</v>
      </c>
      <c r="M223" s="280">
        <f t="shared" si="34"/>
        <v>-11257</v>
      </c>
      <c r="N223" s="280">
        <f t="shared" si="34"/>
        <v>-11257</v>
      </c>
      <c r="O223" s="280">
        <f t="shared" si="35"/>
        <v>-11257</v>
      </c>
      <c r="P223" s="155">
        <f t="shared" si="36"/>
        <v>-11034</v>
      </c>
      <c r="Q223" s="155">
        <f t="shared" si="30"/>
        <v>0</v>
      </c>
    </row>
    <row r="224" spans="1:17">
      <c r="A224" s="64">
        <v>3260</v>
      </c>
      <c r="B224" s="65" t="s">
        <v>217</v>
      </c>
      <c r="C224" s="20">
        <f>VLOOKUP(A224,'Contribution Allocation_Report'!$A$9:$D$310,4,FALSE)</f>
        <v>6.0615E-3</v>
      </c>
      <c r="D224" s="11"/>
      <c r="E224" s="277">
        <f>VLOOKUP(A224,Contributions_20!$A$9:$D$308,4,FALSE)</f>
        <v>6.2903000000000004E-3</v>
      </c>
      <c r="F224" s="132"/>
      <c r="G224" s="148">
        <f t="shared" si="31"/>
        <v>-1108117</v>
      </c>
      <c r="H224" s="276">
        <f t="shared" si="32"/>
        <v>-185304</v>
      </c>
      <c r="I224" s="129">
        <f t="shared" si="33"/>
        <v>-922813</v>
      </c>
      <c r="J224" s="129"/>
      <c r="K224" s="126"/>
      <c r="L224" s="280">
        <f t="shared" si="34"/>
        <v>-185304</v>
      </c>
      <c r="M224" s="280">
        <f t="shared" si="34"/>
        <v>-185304</v>
      </c>
      <c r="N224" s="280">
        <f t="shared" si="34"/>
        <v>-185304</v>
      </c>
      <c r="O224" s="280">
        <f t="shared" si="35"/>
        <v>-185304</v>
      </c>
      <c r="P224" s="155">
        <f t="shared" si="36"/>
        <v>-181597</v>
      </c>
      <c r="Q224" s="155">
        <f t="shared" si="30"/>
        <v>0</v>
      </c>
    </row>
    <row r="225" spans="1:17">
      <c r="A225" s="62">
        <v>4390</v>
      </c>
      <c r="B225" s="66" t="s">
        <v>218</v>
      </c>
      <c r="C225" s="21">
        <f>VLOOKUP(A225,'Contribution Allocation_Report'!$A$9:$D$310,4,FALSE)</f>
        <v>6.19E-5</v>
      </c>
      <c r="D225" s="11"/>
      <c r="E225" s="277">
        <f>VLOOKUP(A225,Contributions_20!$A$9:$D$308,4,FALSE)</f>
        <v>5.7099999999999999E-5</v>
      </c>
      <c r="F225" s="132"/>
      <c r="G225" s="148">
        <f t="shared" si="31"/>
        <v>23247</v>
      </c>
      <c r="H225" s="276">
        <f t="shared" si="32"/>
        <v>3887</v>
      </c>
      <c r="I225" s="129">
        <f t="shared" si="33"/>
        <v>19360</v>
      </c>
      <c r="J225" s="129"/>
      <c r="K225" s="126"/>
      <c r="L225" s="280">
        <f t="shared" si="34"/>
        <v>3888</v>
      </c>
      <c r="M225" s="280">
        <f t="shared" si="34"/>
        <v>3888</v>
      </c>
      <c r="N225" s="280">
        <f t="shared" si="34"/>
        <v>3888</v>
      </c>
      <c r="O225" s="280">
        <f t="shared" si="35"/>
        <v>3888</v>
      </c>
      <c r="P225" s="155">
        <f t="shared" si="36"/>
        <v>3808</v>
      </c>
      <c r="Q225" s="155">
        <f t="shared" si="30"/>
        <v>0</v>
      </c>
    </row>
    <row r="226" spans="1:17">
      <c r="A226" s="64">
        <v>3270</v>
      </c>
      <c r="B226" s="65" t="s">
        <v>219</v>
      </c>
      <c r="C226" s="20">
        <f>VLOOKUP(A226,'Contribution Allocation_Report'!$A$9:$D$310,4,FALSE)</f>
        <v>8.6709999999999999E-4</v>
      </c>
      <c r="D226" s="11"/>
      <c r="E226" s="277">
        <f>VLOOKUP(A226,Contributions_20!$A$9:$D$308,4,FALSE)</f>
        <v>9.0580000000000001E-4</v>
      </c>
      <c r="F226" s="132"/>
      <c r="G226" s="148">
        <f t="shared" si="31"/>
        <v>-187431</v>
      </c>
      <c r="H226" s="276">
        <f t="shared" si="32"/>
        <v>-31343</v>
      </c>
      <c r="I226" s="129">
        <f t="shared" si="33"/>
        <v>-156088</v>
      </c>
      <c r="J226" s="129"/>
      <c r="K226" s="126"/>
      <c r="L226" s="280">
        <f t="shared" si="34"/>
        <v>-31343</v>
      </c>
      <c r="M226" s="280">
        <f t="shared" si="34"/>
        <v>-31343</v>
      </c>
      <c r="N226" s="280">
        <f t="shared" si="34"/>
        <v>-31343</v>
      </c>
      <c r="O226" s="280">
        <f t="shared" si="35"/>
        <v>-31343</v>
      </c>
      <c r="P226" s="155">
        <f t="shared" si="36"/>
        <v>-30716</v>
      </c>
      <c r="Q226" s="155">
        <f t="shared" si="30"/>
        <v>0</v>
      </c>
    </row>
    <row r="227" spans="1:17">
      <c r="A227" s="62">
        <v>29303</v>
      </c>
      <c r="B227" s="66" t="s">
        <v>220</v>
      </c>
      <c r="C227" s="21">
        <f>VLOOKUP(A227,'Contribution Allocation_Report'!$A$9:$D$310,4,FALSE)</f>
        <v>2.052E-4</v>
      </c>
      <c r="D227" s="11"/>
      <c r="E227" s="277">
        <f>VLOOKUP(A227,Contributions_20!$A$9:$D$308,4,FALSE)</f>
        <v>1.7780000000000001E-4</v>
      </c>
      <c r="F227" s="132"/>
      <c r="G227" s="148">
        <f t="shared" si="31"/>
        <v>132703</v>
      </c>
      <c r="H227" s="276">
        <f t="shared" si="32"/>
        <v>22191</v>
      </c>
      <c r="I227" s="129">
        <f t="shared" si="33"/>
        <v>110512</v>
      </c>
      <c r="J227" s="129"/>
      <c r="K227" s="126"/>
      <c r="L227" s="280">
        <f t="shared" si="34"/>
        <v>22191</v>
      </c>
      <c r="M227" s="280">
        <f t="shared" si="34"/>
        <v>22191</v>
      </c>
      <c r="N227" s="280">
        <f t="shared" si="34"/>
        <v>22191</v>
      </c>
      <c r="O227" s="280">
        <f t="shared" si="35"/>
        <v>22191</v>
      </c>
      <c r="P227" s="155">
        <f t="shared" si="36"/>
        <v>21748</v>
      </c>
      <c r="Q227" s="155">
        <f t="shared" si="30"/>
        <v>0</v>
      </c>
    </row>
    <row r="228" spans="1:17">
      <c r="A228" s="64">
        <v>3280</v>
      </c>
      <c r="B228" s="65" t="s">
        <v>221</v>
      </c>
      <c r="C228" s="20">
        <f>VLOOKUP(A228,'Contribution Allocation_Report'!$A$9:$D$310,4,FALSE)</f>
        <v>4.2655999999999996E-3</v>
      </c>
      <c r="D228" s="11"/>
      <c r="E228" s="277">
        <f>VLOOKUP(A228,Contributions_20!$A$9:$D$308,4,FALSE)</f>
        <v>4.0473000000000002E-3</v>
      </c>
      <c r="F228" s="132"/>
      <c r="G228" s="148">
        <f t="shared" si="31"/>
        <v>1057264</v>
      </c>
      <c r="H228" s="276">
        <f t="shared" si="32"/>
        <v>176800</v>
      </c>
      <c r="I228" s="129">
        <f t="shared" si="33"/>
        <v>880464</v>
      </c>
      <c r="J228" s="129"/>
      <c r="K228" s="126"/>
      <c r="L228" s="280">
        <f t="shared" si="34"/>
        <v>176800</v>
      </c>
      <c r="M228" s="280">
        <f t="shared" si="34"/>
        <v>176800</v>
      </c>
      <c r="N228" s="280">
        <f t="shared" si="34"/>
        <v>176800</v>
      </c>
      <c r="O228" s="280">
        <f t="shared" si="35"/>
        <v>176800</v>
      </c>
      <c r="P228" s="155">
        <f t="shared" si="36"/>
        <v>173264</v>
      </c>
      <c r="Q228" s="155">
        <f t="shared" si="30"/>
        <v>0</v>
      </c>
    </row>
    <row r="229" spans="1:17">
      <c r="A229" s="62">
        <v>4260</v>
      </c>
      <c r="B229" s="66" t="s">
        <v>222</v>
      </c>
      <c r="C229" s="21">
        <f>VLOOKUP(A229,'Contribution Allocation_Report'!$A$9:$D$310,4,FALSE)</f>
        <v>3.1310000000000002E-4</v>
      </c>
      <c r="D229" s="11"/>
      <c r="E229" s="277">
        <f>VLOOKUP(A229,Contributions_20!$A$9:$D$308,4,FALSE)</f>
        <v>3.3030000000000001E-4</v>
      </c>
      <c r="F229" s="132"/>
      <c r="G229" s="148">
        <f t="shared" si="31"/>
        <v>-83303</v>
      </c>
      <c r="H229" s="276">
        <f t="shared" si="32"/>
        <v>-13930</v>
      </c>
      <c r="I229" s="129">
        <f t="shared" si="33"/>
        <v>-69373</v>
      </c>
      <c r="J229" s="129"/>
      <c r="K229" s="126"/>
      <c r="L229" s="280">
        <f t="shared" si="34"/>
        <v>-13930</v>
      </c>
      <c r="M229" s="280">
        <f t="shared" si="34"/>
        <v>-13930</v>
      </c>
      <c r="N229" s="280">
        <f t="shared" si="34"/>
        <v>-13930</v>
      </c>
      <c r="O229" s="280">
        <f t="shared" si="35"/>
        <v>-13930</v>
      </c>
      <c r="P229" s="155">
        <f t="shared" si="36"/>
        <v>-13653</v>
      </c>
      <c r="Q229" s="155">
        <f t="shared" si="30"/>
        <v>0</v>
      </c>
    </row>
    <row r="230" spans="1:17">
      <c r="A230" s="64">
        <v>1003</v>
      </c>
      <c r="B230" s="65" t="s">
        <v>223</v>
      </c>
      <c r="C230" s="20">
        <f>VLOOKUP(A230,'Contribution Allocation_Report'!$A$9:$D$310,4,FALSE)</f>
        <v>4.3736000000000001E-3</v>
      </c>
      <c r="D230" s="11"/>
      <c r="E230" s="277">
        <f>VLOOKUP(A230,Contributions_20!$A$9:$D$308,4,FALSE)</f>
        <v>4.7388999999999999E-3</v>
      </c>
      <c r="F230" s="132"/>
      <c r="G230" s="148">
        <f t="shared" si="31"/>
        <v>-1769210</v>
      </c>
      <c r="H230" s="276">
        <f t="shared" si="32"/>
        <v>-295855</v>
      </c>
      <c r="I230" s="129">
        <f t="shared" si="33"/>
        <v>-1473355</v>
      </c>
      <c r="J230" s="129"/>
      <c r="K230" s="126"/>
      <c r="L230" s="280">
        <f t="shared" ref="L230:N262" si="37">ROUND($I230/4.98,0)</f>
        <v>-295854</v>
      </c>
      <c r="M230" s="280">
        <f t="shared" si="37"/>
        <v>-295854</v>
      </c>
      <c r="N230" s="280">
        <f t="shared" si="37"/>
        <v>-295854</v>
      </c>
      <c r="O230" s="280">
        <f t="shared" si="35"/>
        <v>-295854</v>
      </c>
      <c r="P230" s="155">
        <f t="shared" si="36"/>
        <v>-289939</v>
      </c>
      <c r="Q230" s="155">
        <f t="shared" si="30"/>
        <v>0</v>
      </c>
    </row>
    <row r="231" spans="1:17">
      <c r="A231" s="62">
        <v>3290</v>
      </c>
      <c r="B231" s="66" t="s">
        <v>224</v>
      </c>
      <c r="C231" s="21">
        <f>VLOOKUP(A231,'Contribution Allocation_Report'!$A$9:$D$310,4,FALSE)</f>
        <v>9.3092999999999995E-3</v>
      </c>
      <c r="D231" s="11"/>
      <c r="E231" s="277">
        <f>VLOOKUP(A231,Contributions_20!$A$9:$D$308,4,FALSE)</f>
        <v>9.6314999999999994E-3</v>
      </c>
      <c r="F231" s="132"/>
      <c r="G231" s="148">
        <f t="shared" si="31"/>
        <v>-1560469</v>
      </c>
      <c r="H231" s="276">
        <f t="shared" si="32"/>
        <v>-260948</v>
      </c>
      <c r="I231" s="129">
        <f t="shared" si="33"/>
        <v>-1299521</v>
      </c>
      <c r="J231" s="129"/>
      <c r="K231" s="126"/>
      <c r="L231" s="280">
        <f t="shared" si="37"/>
        <v>-260948</v>
      </c>
      <c r="M231" s="280">
        <f t="shared" si="37"/>
        <v>-260948</v>
      </c>
      <c r="N231" s="280">
        <f t="shared" si="37"/>
        <v>-260948</v>
      </c>
      <c r="O231" s="280">
        <f t="shared" si="35"/>
        <v>-260948</v>
      </c>
      <c r="P231" s="155">
        <f t="shared" si="36"/>
        <v>-255729</v>
      </c>
      <c r="Q231" s="155">
        <f t="shared" si="30"/>
        <v>0</v>
      </c>
    </row>
    <row r="232" spans="1:17">
      <c r="A232" s="64">
        <v>1002</v>
      </c>
      <c r="B232" s="65" t="s">
        <v>225</v>
      </c>
      <c r="C232" s="20">
        <f>VLOOKUP(A232,'Contribution Allocation_Report'!$A$9:$D$310,4,FALSE)</f>
        <v>1.7429400000000001E-2</v>
      </c>
      <c r="D232" s="11"/>
      <c r="E232" s="277">
        <f>VLOOKUP(A232,Contributions_20!$A$9:$D$308,4,FALSE)</f>
        <v>1.78754E-2</v>
      </c>
      <c r="F232" s="132"/>
      <c r="G232" s="148">
        <f t="shared" si="31"/>
        <v>-2160054</v>
      </c>
      <c r="H232" s="276">
        <f t="shared" si="32"/>
        <v>-361213</v>
      </c>
      <c r="I232" s="129">
        <f t="shared" si="33"/>
        <v>-1798841</v>
      </c>
      <c r="J232" s="129"/>
      <c r="K232" s="126"/>
      <c r="L232" s="280">
        <f t="shared" si="37"/>
        <v>-361213</v>
      </c>
      <c r="M232" s="280">
        <f t="shared" si="37"/>
        <v>-361213</v>
      </c>
      <c r="N232" s="280">
        <f t="shared" si="37"/>
        <v>-361213</v>
      </c>
      <c r="O232" s="280">
        <f t="shared" si="35"/>
        <v>-361213</v>
      </c>
      <c r="P232" s="155">
        <f t="shared" si="36"/>
        <v>-353989</v>
      </c>
      <c r="Q232" s="155">
        <f t="shared" si="30"/>
        <v>0</v>
      </c>
    </row>
    <row r="233" spans="1:17" s="216" customFormat="1">
      <c r="A233" s="254">
        <v>4270</v>
      </c>
      <c r="B233" s="255" t="s">
        <v>449</v>
      </c>
      <c r="C233" s="225">
        <f>VLOOKUP(A233,'Contribution Allocation_Report'!$A$9:$D$310,4,FALSE)</f>
        <v>3.7839999999999998E-4</v>
      </c>
      <c r="D233" s="11"/>
      <c r="E233" s="277">
        <v>0</v>
      </c>
      <c r="F233" s="132"/>
      <c r="G233" s="278">
        <f t="shared" ref="G233" si="38">ROUND((E233-C233)*$G$322,0)</f>
        <v>1832655</v>
      </c>
      <c r="H233" s="276">
        <f t="shared" ref="H233" si="39">ROUND(G233/5.98,0)</f>
        <v>306464</v>
      </c>
      <c r="I233" s="276">
        <f t="shared" ref="I233" si="40">G233-H233</f>
        <v>1526191</v>
      </c>
      <c r="J233" s="276"/>
      <c r="K233" s="126"/>
      <c r="L233" s="280">
        <f t="shared" si="37"/>
        <v>306464</v>
      </c>
      <c r="M233" s="280">
        <f t="shared" si="37"/>
        <v>306464</v>
      </c>
      <c r="N233" s="280">
        <f t="shared" si="37"/>
        <v>306464</v>
      </c>
      <c r="O233" s="280">
        <f t="shared" si="35"/>
        <v>306464</v>
      </c>
      <c r="P233" s="281">
        <f t="shared" ref="P233" si="41">I233-SUM(L233:O233)</f>
        <v>300335</v>
      </c>
      <c r="Q233" s="281">
        <f t="shared" ref="Q233" si="42">+I233-SUM(L233:P233)</f>
        <v>0</v>
      </c>
    </row>
    <row r="234" spans="1:17">
      <c r="A234" s="62">
        <v>24072</v>
      </c>
      <c r="B234" s="66" t="s">
        <v>226</v>
      </c>
      <c r="C234" s="21">
        <f>VLOOKUP(A234,'Contribution Allocation_Report'!$A$9:$D$310,4,FALSE)</f>
        <v>1.2374E-3</v>
      </c>
      <c r="D234" s="11"/>
      <c r="E234" s="277">
        <f>VLOOKUP(A234,Contributions_20!$A$9:$D$308,4,FALSE)</f>
        <v>1.1073999999999999E-3</v>
      </c>
      <c r="F234" s="132"/>
      <c r="G234" s="148">
        <f t="shared" si="31"/>
        <v>629612</v>
      </c>
      <c r="H234" s="276">
        <f t="shared" si="32"/>
        <v>105286</v>
      </c>
      <c r="I234" s="129">
        <f t="shared" si="33"/>
        <v>524326</v>
      </c>
      <c r="J234" s="129"/>
      <c r="K234" s="126"/>
      <c r="L234" s="280">
        <f t="shared" si="37"/>
        <v>105286</v>
      </c>
      <c r="M234" s="280">
        <f t="shared" si="37"/>
        <v>105286</v>
      </c>
      <c r="N234" s="280">
        <f t="shared" si="37"/>
        <v>105286</v>
      </c>
      <c r="O234" s="280">
        <f t="shared" si="35"/>
        <v>105286</v>
      </c>
      <c r="P234" s="155">
        <f t="shared" si="36"/>
        <v>103182</v>
      </c>
      <c r="Q234" s="155">
        <f t="shared" si="30"/>
        <v>0</v>
      </c>
    </row>
    <row r="235" spans="1:17">
      <c r="A235" s="64">
        <v>14366</v>
      </c>
      <c r="B235" s="65" t="s">
        <v>227</v>
      </c>
      <c r="C235" s="20">
        <f>VLOOKUP(A235,'Contribution Allocation_Report'!$A$9:$D$310,4,FALSE)</f>
        <v>5.6400000000000005E-4</v>
      </c>
      <c r="D235" s="11"/>
      <c r="E235" s="277">
        <f>VLOOKUP(A235,Contributions_20!$A$9:$D$308,4,FALSE)</f>
        <v>5.6309999999999997E-4</v>
      </c>
      <c r="F235" s="132"/>
      <c r="G235" s="148">
        <f t="shared" si="31"/>
        <v>4359</v>
      </c>
      <c r="H235" s="276">
        <f t="shared" si="32"/>
        <v>729</v>
      </c>
      <c r="I235" s="129">
        <f t="shared" si="33"/>
        <v>3630</v>
      </c>
      <c r="J235" s="129"/>
      <c r="K235" s="126"/>
      <c r="L235" s="280">
        <f t="shared" si="37"/>
        <v>729</v>
      </c>
      <c r="M235" s="280">
        <f t="shared" si="37"/>
        <v>729</v>
      </c>
      <c r="N235" s="280">
        <f t="shared" si="37"/>
        <v>729</v>
      </c>
      <c r="O235" s="280">
        <f t="shared" si="35"/>
        <v>729</v>
      </c>
      <c r="P235" s="155">
        <f t="shared" si="36"/>
        <v>714</v>
      </c>
      <c r="Q235" s="155">
        <f t="shared" si="30"/>
        <v>0</v>
      </c>
    </row>
    <row r="236" spans="1:17">
      <c r="A236" s="62">
        <v>4317</v>
      </c>
      <c r="B236" s="66" t="s">
        <v>228</v>
      </c>
      <c r="C236" s="21">
        <f>VLOOKUP(A236,'Contribution Allocation_Report'!$A$9:$D$310,4,FALSE)</f>
        <v>2.131E-4</v>
      </c>
      <c r="D236" s="11"/>
      <c r="E236" s="277">
        <f>VLOOKUP(A236,Contributions_20!$A$9:$D$308,4,FALSE)</f>
        <v>8.3200000000000003E-5</v>
      </c>
      <c r="F236" s="132"/>
      <c r="G236" s="148">
        <f t="shared" si="31"/>
        <v>629128</v>
      </c>
      <c r="H236" s="276">
        <f t="shared" si="32"/>
        <v>105205</v>
      </c>
      <c r="I236" s="129">
        <f t="shared" si="33"/>
        <v>523923</v>
      </c>
      <c r="J236" s="129"/>
      <c r="K236" s="126"/>
      <c r="L236" s="280">
        <f t="shared" si="37"/>
        <v>105205</v>
      </c>
      <c r="M236" s="280">
        <f t="shared" si="37"/>
        <v>105205</v>
      </c>
      <c r="N236" s="280">
        <f t="shared" si="37"/>
        <v>105205</v>
      </c>
      <c r="O236" s="280">
        <f t="shared" si="35"/>
        <v>105205</v>
      </c>
      <c r="P236" s="155">
        <f t="shared" si="36"/>
        <v>103103</v>
      </c>
      <c r="Q236" s="155">
        <f t="shared" si="30"/>
        <v>0</v>
      </c>
    </row>
    <row r="237" spans="1:17">
      <c r="A237" s="64">
        <v>32120</v>
      </c>
      <c r="B237" s="65" t="s">
        <v>229</v>
      </c>
      <c r="C237" s="20">
        <f>VLOOKUP(A237,'Contribution Allocation_Report'!$A$9:$D$310,4,FALSE)</f>
        <v>2.4919999999999999E-4</v>
      </c>
      <c r="D237" s="11"/>
      <c r="E237" s="277">
        <f>VLOOKUP(A237,Contributions_20!$A$9:$D$308,4,FALSE)</f>
        <v>2.2249999999999999E-4</v>
      </c>
      <c r="F237" s="132"/>
      <c r="G237" s="148">
        <f t="shared" si="31"/>
        <v>129313</v>
      </c>
      <c r="H237" s="276">
        <f t="shared" si="32"/>
        <v>21624</v>
      </c>
      <c r="I237" s="129">
        <f t="shared" si="33"/>
        <v>107689</v>
      </c>
      <c r="J237" s="129"/>
      <c r="K237" s="126"/>
      <c r="L237" s="280">
        <f t="shared" si="37"/>
        <v>21624</v>
      </c>
      <c r="M237" s="280">
        <f t="shared" si="37"/>
        <v>21624</v>
      </c>
      <c r="N237" s="280">
        <f t="shared" si="37"/>
        <v>21624</v>
      </c>
      <c r="O237" s="280">
        <f t="shared" si="35"/>
        <v>21624</v>
      </c>
      <c r="P237" s="155">
        <f t="shared" si="36"/>
        <v>21193</v>
      </c>
      <c r="Q237" s="155">
        <f t="shared" si="30"/>
        <v>0</v>
      </c>
    </row>
    <row r="238" spans="1:17">
      <c r="A238" s="62">
        <v>3300</v>
      </c>
      <c r="B238" s="66" t="s">
        <v>230</v>
      </c>
      <c r="C238" s="21">
        <f>VLOOKUP(A238,'Contribution Allocation_Report'!$A$9:$D$310,4,FALSE)</f>
        <v>6.0260000000000001E-4</v>
      </c>
      <c r="D238" s="11"/>
      <c r="E238" s="277">
        <f>VLOOKUP(A238,Contributions_20!$A$9:$D$308,4,FALSE)</f>
        <v>6.4320000000000002E-4</v>
      </c>
      <c r="F238" s="132"/>
      <c r="G238" s="148">
        <f t="shared" si="31"/>
        <v>-196633</v>
      </c>
      <c r="H238" s="276">
        <f t="shared" si="32"/>
        <v>-32882</v>
      </c>
      <c r="I238" s="129">
        <f t="shared" si="33"/>
        <v>-163751</v>
      </c>
      <c r="J238" s="129"/>
      <c r="K238" s="126"/>
      <c r="L238" s="280">
        <f t="shared" si="37"/>
        <v>-32882</v>
      </c>
      <c r="M238" s="280">
        <f t="shared" si="37"/>
        <v>-32882</v>
      </c>
      <c r="N238" s="280">
        <f t="shared" si="37"/>
        <v>-32882</v>
      </c>
      <c r="O238" s="280">
        <f t="shared" si="35"/>
        <v>-32882</v>
      </c>
      <c r="P238" s="155">
        <f t="shared" si="36"/>
        <v>-32223</v>
      </c>
      <c r="Q238" s="155">
        <f t="shared" si="30"/>
        <v>0</v>
      </c>
    </row>
    <row r="239" spans="1:17">
      <c r="A239" s="64">
        <v>8026</v>
      </c>
      <c r="B239" s="65" t="s">
        <v>231</v>
      </c>
      <c r="C239" s="20">
        <f>VLOOKUP(A239,'Contribution Allocation_Report'!$A$9:$D$310,4,FALSE)</f>
        <v>3.3944000000000001E-3</v>
      </c>
      <c r="D239" s="11"/>
      <c r="E239" s="277">
        <f>VLOOKUP(A239,Contributions_20!$A$9:$D$308,4,FALSE)</f>
        <v>3.5469999999999998E-3</v>
      </c>
      <c r="F239" s="132"/>
      <c r="G239" s="148">
        <f t="shared" si="31"/>
        <v>-739068</v>
      </c>
      <c r="H239" s="276">
        <f t="shared" si="32"/>
        <v>-123590</v>
      </c>
      <c r="I239" s="129">
        <f t="shared" si="33"/>
        <v>-615478</v>
      </c>
      <c r="J239" s="129"/>
      <c r="K239" s="126"/>
      <c r="L239" s="280">
        <f t="shared" si="37"/>
        <v>-123590</v>
      </c>
      <c r="M239" s="280">
        <f t="shared" si="37"/>
        <v>-123590</v>
      </c>
      <c r="N239" s="280">
        <f t="shared" si="37"/>
        <v>-123590</v>
      </c>
      <c r="O239" s="280">
        <f t="shared" si="35"/>
        <v>-123590</v>
      </c>
      <c r="P239" s="155">
        <f t="shared" si="36"/>
        <v>-121118</v>
      </c>
      <c r="Q239" s="155">
        <f t="shared" si="30"/>
        <v>0</v>
      </c>
    </row>
    <row r="240" spans="1:17">
      <c r="A240" s="62">
        <v>32119</v>
      </c>
      <c r="B240" s="66" t="s">
        <v>232</v>
      </c>
      <c r="C240" s="21">
        <f>VLOOKUP(A240,'Contribution Allocation_Report'!$A$9:$D$310,4,FALSE)</f>
        <v>1.15E-4</v>
      </c>
      <c r="D240" s="11"/>
      <c r="E240" s="277">
        <f>VLOOKUP(A240,Contributions_20!$A$9:$D$308,4,FALSE)</f>
        <v>1.036E-4</v>
      </c>
      <c r="F240" s="132"/>
      <c r="G240" s="148">
        <f t="shared" si="31"/>
        <v>55212</v>
      </c>
      <c r="H240" s="276">
        <f t="shared" si="32"/>
        <v>9233</v>
      </c>
      <c r="I240" s="129">
        <f t="shared" si="33"/>
        <v>45979</v>
      </c>
      <c r="J240" s="129"/>
      <c r="K240" s="126"/>
      <c r="L240" s="280">
        <f t="shared" si="37"/>
        <v>9233</v>
      </c>
      <c r="M240" s="280">
        <f t="shared" si="37"/>
        <v>9233</v>
      </c>
      <c r="N240" s="280">
        <f t="shared" si="37"/>
        <v>9233</v>
      </c>
      <c r="O240" s="280">
        <f t="shared" si="35"/>
        <v>9233</v>
      </c>
      <c r="P240" s="155">
        <f t="shared" si="36"/>
        <v>9047</v>
      </c>
      <c r="Q240" s="155">
        <f t="shared" si="30"/>
        <v>0</v>
      </c>
    </row>
    <row r="241" spans="1:17">
      <c r="A241" s="64">
        <v>25076</v>
      </c>
      <c r="B241" s="65" t="s">
        <v>233</v>
      </c>
      <c r="C241" s="20">
        <f>VLOOKUP(A241,'Contribution Allocation_Report'!$A$9:$D$310,4,FALSE)</f>
        <v>2.0506000000000001E-3</v>
      </c>
      <c r="D241" s="11"/>
      <c r="E241" s="277">
        <f>VLOOKUP(A241,Contributions_20!$A$9:$D$308,4,FALSE)</f>
        <v>2.1440999999999999E-3</v>
      </c>
      <c r="F241" s="132"/>
      <c r="G241" s="148">
        <f t="shared" si="31"/>
        <v>-452836</v>
      </c>
      <c r="H241" s="276">
        <f t="shared" si="32"/>
        <v>-75725</v>
      </c>
      <c r="I241" s="129">
        <f t="shared" si="33"/>
        <v>-377111</v>
      </c>
      <c r="J241" s="129"/>
      <c r="K241" s="126"/>
      <c r="L241" s="280">
        <f t="shared" si="37"/>
        <v>-75725</v>
      </c>
      <c r="M241" s="280">
        <f t="shared" si="37"/>
        <v>-75725</v>
      </c>
      <c r="N241" s="280">
        <f t="shared" si="37"/>
        <v>-75725</v>
      </c>
      <c r="O241" s="280">
        <f t="shared" si="35"/>
        <v>-75725</v>
      </c>
      <c r="P241" s="155">
        <f t="shared" si="36"/>
        <v>-74211</v>
      </c>
      <c r="Q241" s="155">
        <f t="shared" si="30"/>
        <v>0</v>
      </c>
    </row>
    <row r="242" spans="1:17">
      <c r="A242" s="62">
        <v>2440</v>
      </c>
      <c r="B242" s="66" t="s">
        <v>414</v>
      </c>
      <c r="C242" s="21">
        <f>VLOOKUP(A242,'Contribution Allocation_Report'!$A$9:$D$310,4,FALSE)</f>
        <v>2.0039999999999999E-4</v>
      </c>
      <c r="D242" s="11"/>
      <c r="E242" s="277">
        <f>VLOOKUP(A242,Contributions_20!$A$9:$D$308,4,FALSE)</f>
        <v>1.316E-4</v>
      </c>
      <c r="F242" s="132"/>
      <c r="G242" s="148">
        <f t="shared" si="31"/>
        <v>333210</v>
      </c>
      <c r="H242" s="276">
        <f t="shared" si="32"/>
        <v>55721</v>
      </c>
      <c r="I242" s="129">
        <f t="shared" si="33"/>
        <v>277489</v>
      </c>
      <c r="J242" s="129"/>
      <c r="K242" s="126"/>
      <c r="L242" s="280">
        <f t="shared" si="37"/>
        <v>55721</v>
      </c>
      <c r="M242" s="280">
        <f t="shared" si="37"/>
        <v>55721</v>
      </c>
      <c r="N242" s="280">
        <f t="shared" si="37"/>
        <v>55721</v>
      </c>
      <c r="O242" s="280">
        <f t="shared" si="35"/>
        <v>55721</v>
      </c>
      <c r="P242" s="155">
        <f t="shared" si="36"/>
        <v>54605</v>
      </c>
      <c r="Q242" s="155">
        <f t="shared" si="30"/>
        <v>0</v>
      </c>
    </row>
    <row r="243" spans="1:17">
      <c r="A243" s="64">
        <v>2309</v>
      </c>
      <c r="B243" s="65" t="s">
        <v>234</v>
      </c>
      <c r="C243" s="20">
        <f>VLOOKUP(A243,'Contribution Allocation_Report'!$A$9:$D$310,4,FALSE)</f>
        <v>8.7399999999999999E-4</v>
      </c>
      <c r="D243" s="11"/>
      <c r="E243" s="277">
        <f>VLOOKUP(A243,Contributions_20!$A$9:$D$308,4,FALSE)</f>
        <v>8.2930000000000005E-4</v>
      </c>
      <c r="F243" s="132"/>
      <c r="G243" s="148">
        <f t="shared" si="31"/>
        <v>216490</v>
      </c>
      <c r="H243" s="276">
        <f t="shared" si="32"/>
        <v>36202</v>
      </c>
      <c r="I243" s="129">
        <f t="shared" si="33"/>
        <v>180288</v>
      </c>
      <c r="J243" s="129"/>
      <c r="K243" s="126"/>
      <c r="L243" s="280">
        <f t="shared" si="37"/>
        <v>36202</v>
      </c>
      <c r="M243" s="280">
        <f t="shared" si="37"/>
        <v>36202</v>
      </c>
      <c r="N243" s="280">
        <f t="shared" si="37"/>
        <v>36202</v>
      </c>
      <c r="O243" s="280">
        <f t="shared" si="35"/>
        <v>36202</v>
      </c>
      <c r="P243" s="155">
        <f t="shared" si="36"/>
        <v>35480</v>
      </c>
      <c r="Q243" s="155">
        <f t="shared" si="30"/>
        <v>0</v>
      </c>
    </row>
    <row r="244" spans="1:17">
      <c r="A244" s="62">
        <v>2396</v>
      </c>
      <c r="B244" s="66" t="s">
        <v>235</v>
      </c>
      <c r="C244" s="21">
        <f>VLOOKUP(A244,'Contribution Allocation_Report'!$A$9:$D$310,4,FALSE)</f>
        <v>2.321E-4</v>
      </c>
      <c r="D244" s="11"/>
      <c r="E244" s="277">
        <f>VLOOKUP(A244,Contributions_20!$A$9:$D$308,4,FALSE)</f>
        <v>2.1440000000000001E-4</v>
      </c>
      <c r="F244" s="132"/>
      <c r="G244" s="148">
        <f t="shared" si="31"/>
        <v>85724</v>
      </c>
      <c r="H244" s="276">
        <f t="shared" si="32"/>
        <v>14335</v>
      </c>
      <c r="I244" s="129">
        <f t="shared" si="33"/>
        <v>71389</v>
      </c>
      <c r="J244" s="129"/>
      <c r="K244" s="126"/>
      <c r="L244" s="280">
        <f t="shared" si="37"/>
        <v>14335</v>
      </c>
      <c r="M244" s="280">
        <f t="shared" si="37"/>
        <v>14335</v>
      </c>
      <c r="N244" s="280">
        <f t="shared" si="37"/>
        <v>14335</v>
      </c>
      <c r="O244" s="280">
        <f t="shared" si="35"/>
        <v>14335</v>
      </c>
      <c r="P244" s="155">
        <f t="shared" si="36"/>
        <v>14049</v>
      </c>
      <c r="Q244" s="155">
        <f t="shared" si="30"/>
        <v>0</v>
      </c>
    </row>
    <row r="245" spans="1:17">
      <c r="A245" s="64">
        <v>3380</v>
      </c>
      <c r="B245" s="65" t="s">
        <v>236</v>
      </c>
      <c r="C245" s="20">
        <f>VLOOKUP(A245,'Contribution Allocation_Report'!$A$9:$D$310,4,FALSE)</f>
        <v>1.874E-4</v>
      </c>
      <c r="D245" s="11"/>
      <c r="E245" s="277">
        <f>VLOOKUP(A245,Contributions_20!$A$9:$D$308,4,FALSE)</f>
        <v>1.7579999999999999E-4</v>
      </c>
      <c r="F245" s="132"/>
      <c r="G245" s="148">
        <f t="shared" si="31"/>
        <v>56181</v>
      </c>
      <c r="H245" s="276">
        <f t="shared" si="32"/>
        <v>9395</v>
      </c>
      <c r="I245" s="129">
        <f t="shared" si="33"/>
        <v>46786</v>
      </c>
      <c r="J245" s="129"/>
      <c r="K245" s="126"/>
      <c r="L245" s="280">
        <f t="shared" si="37"/>
        <v>9395</v>
      </c>
      <c r="M245" s="280">
        <f t="shared" si="37"/>
        <v>9395</v>
      </c>
      <c r="N245" s="280">
        <f t="shared" si="37"/>
        <v>9395</v>
      </c>
      <c r="O245" s="280">
        <f t="shared" si="35"/>
        <v>9395</v>
      </c>
      <c r="P245" s="155">
        <f t="shared" si="36"/>
        <v>9206</v>
      </c>
      <c r="Q245" s="155">
        <f t="shared" si="30"/>
        <v>0</v>
      </c>
    </row>
    <row r="246" spans="1:17">
      <c r="A246" s="62">
        <v>2420</v>
      </c>
      <c r="B246" s="66" t="s">
        <v>237</v>
      </c>
      <c r="C246" s="21">
        <f>VLOOKUP(A246,'Contribution Allocation_Report'!$A$9:$D$310,4,FALSE)</f>
        <v>2.589E-4</v>
      </c>
      <c r="D246" s="11"/>
      <c r="E246" s="277">
        <f>VLOOKUP(A246,Contributions_20!$A$9:$D$308,4,FALSE)</f>
        <v>2.6590000000000001E-4</v>
      </c>
      <c r="F246" s="132"/>
      <c r="G246" s="148">
        <f t="shared" si="31"/>
        <v>-33902</v>
      </c>
      <c r="H246" s="276">
        <f t="shared" si="32"/>
        <v>-5669</v>
      </c>
      <c r="I246" s="129">
        <f t="shared" si="33"/>
        <v>-28233</v>
      </c>
      <c r="J246" s="129"/>
      <c r="K246" s="126"/>
      <c r="L246" s="280">
        <f t="shared" si="37"/>
        <v>-5669</v>
      </c>
      <c r="M246" s="280">
        <f t="shared" si="37"/>
        <v>-5669</v>
      </c>
      <c r="N246" s="280">
        <f t="shared" si="37"/>
        <v>-5669</v>
      </c>
      <c r="O246" s="280">
        <f t="shared" si="35"/>
        <v>-5669</v>
      </c>
      <c r="P246" s="155">
        <f t="shared" si="36"/>
        <v>-5557</v>
      </c>
      <c r="Q246" s="155">
        <f t="shared" si="30"/>
        <v>0</v>
      </c>
    </row>
    <row r="247" spans="1:17">
      <c r="A247" s="64">
        <v>2740</v>
      </c>
      <c r="B247" s="65" t="s">
        <v>238</v>
      </c>
      <c r="C247" s="20">
        <f>VLOOKUP(A247,'Contribution Allocation_Report'!$A$9:$D$310,4,FALSE)</f>
        <v>4.3000000000000002E-5</v>
      </c>
      <c r="D247" s="11"/>
      <c r="E247" s="277">
        <f>VLOOKUP(A247,Contributions_20!$A$9:$D$308,4,FALSE)</f>
        <v>3.4499999999999998E-5</v>
      </c>
      <c r="F247" s="132"/>
      <c r="G247" s="148">
        <f t="shared" si="31"/>
        <v>41167</v>
      </c>
      <c r="H247" s="276">
        <f t="shared" si="32"/>
        <v>6884</v>
      </c>
      <c r="I247" s="129">
        <f t="shared" si="33"/>
        <v>34283</v>
      </c>
      <c r="J247" s="129"/>
      <c r="K247" s="126"/>
      <c r="L247" s="280">
        <f t="shared" si="37"/>
        <v>6884</v>
      </c>
      <c r="M247" s="280">
        <f t="shared" si="37"/>
        <v>6884</v>
      </c>
      <c r="N247" s="280">
        <f t="shared" si="37"/>
        <v>6884</v>
      </c>
      <c r="O247" s="280">
        <f t="shared" si="35"/>
        <v>6884</v>
      </c>
      <c r="P247" s="155">
        <f t="shared" si="36"/>
        <v>6747</v>
      </c>
      <c r="Q247" s="155">
        <f t="shared" si="30"/>
        <v>0</v>
      </c>
    </row>
    <row r="248" spans="1:17">
      <c r="A248" s="62">
        <v>2346</v>
      </c>
      <c r="B248" s="66" t="s">
        <v>239</v>
      </c>
      <c r="C248" s="21">
        <f>VLOOKUP(A248,'Contribution Allocation_Report'!$A$9:$D$310,4,FALSE)</f>
        <v>1.8450000000000001E-4</v>
      </c>
      <c r="D248" s="11"/>
      <c r="E248" s="277">
        <f>VLOOKUP(A248,Contributions_20!$A$9:$D$308,4,FALSE)</f>
        <v>1.8809999999999999E-4</v>
      </c>
      <c r="F248" s="132"/>
      <c r="G248" s="148">
        <f t="shared" si="31"/>
        <v>-17435</v>
      </c>
      <c r="H248" s="276">
        <f t="shared" si="32"/>
        <v>-2916</v>
      </c>
      <c r="I248" s="129">
        <f t="shared" si="33"/>
        <v>-14519</v>
      </c>
      <c r="J248" s="129"/>
      <c r="K248" s="126"/>
      <c r="L248" s="280">
        <f t="shared" si="37"/>
        <v>-2915</v>
      </c>
      <c r="M248" s="280">
        <f t="shared" si="37"/>
        <v>-2915</v>
      </c>
      <c r="N248" s="280">
        <f t="shared" si="37"/>
        <v>-2915</v>
      </c>
      <c r="O248" s="280">
        <f t="shared" si="35"/>
        <v>-2915</v>
      </c>
      <c r="P248" s="155">
        <f t="shared" si="36"/>
        <v>-2859</v>
      </c>
      <c r="Q248" s="155">
        <f t="shared" si="30"/>
        <v>0</v>
      </c>
    </row>
    <row r="249" spans="1:17">
      <c r="A249" s="64">
        <v>21150</v>
      </c>
      <c r="B249" s="65" t="s">
        <v>240</v>
      </c>
      <c r="C249" s="20">
        <f>VLOOKUP(A249,'Contribution Allocation_Report'!$A$9:$D$310,4,FALSE)</f>
        <v>4.596E-4</v>
      </c>
      <c r="D249" s="11"/>
      <c r="E249" s="277">
        <f>VLOOKUP(A249,Contributions_20!$A$9:$D$308,4,FALSE)</f>
        <v>4.2660000000000002E-4</v>
      </c>
      <c r="F249" s="132"/>
      <c r="G249" s="148">
        <f t="shared" si="31"/>
        <v>159825</v>
      </c>
      <c r="H249" s="276">
        <f t="shared" si="32"/>
        <v>26727</v>
      </c>
      <c r="I249" s="129">
        <f t="shared" si="33"/>
        <v>133098</v>
      </c>
      <c r="J249" s="129"/>
      <c r="K249" s="126"/>
      <c r="L249" s="280">
        <f t="shared" si="37"/>
        <v>26727</v>
      </c>
      <c r="M249" s="280">
        <f t="shared" si="37"/>
        <v>26727</v>
      </c>
      <c r="N249" s="280">
        <f t="shared" si="37"/>
        <v>26727</v>
      </c>
      <c r="O249" s="280">
        <f t="shared" si="35"/>
        <v>26727</v>
      </c>
      <c r="P249" s="155">
        <f t="shared" si="36"/>
        <v>26190</v>
      </c>
      <c r="Q249" s="155">
        <f t="shared" si="30"/>
        <v>0</v>
      </c>
    </row>
    <row r="250" spans="1:17">
      <c r="A250" s="62">
        <v>32098</v>
      </c>
      <c r="B250" s="66" t="s">
        <v>241</v>
      </c>
      <c r="C250" s="21">
        <f>VLOOKUP(A250,'Contribution Allocation_Report'!$A$9:$D$310,4,FALSE)</f>
        <v>2.2709999999999999E-4</v>
      </c>
      <c r="D250" s="11"/>
      <c r="E250" s="277">
        <f>VLOOKUP(A250,Contributions_20!$A$9:$D$308,4,FALSE)</f>
        <v>2.264E-4</v>
      </c>
      <c r="F250" s="132"/>
      <c r="G250" s="148">
        <f t="shared" si="31"/>
        <v>3390</v>
      </c>
      <c r="H250" s="276">
        <f t="shared" si="32"/>
        <v>567</v>
      </c>
      <c r="I250" s="129">
        <f t="shared" si="33"/>
        <v>2823</v>
      </c>
      <c r="J250" s="129"/>
      <c r="K250" s="126"/>
      <c r="L250" s="280">
        <f t="shared" si="37"/>
        <v>567</v>
      </c>
      <c r="M250" s="280">
        <f t="shared" si="37"/>
        <v>567</v>
      </c>
      <c r="N250" s="280">
        <f t="shared" si="37"/>
        <v>567</v>
      </c>
      <c r="O250" s="280">
        <f t="shared" si="35"/>
        <v>567</v>
      </c>
      <c r="P250" s="155">
        <f t="shared" si="36"/>
        <v>555</v>
      </c>
      <c r="Q250" s="155">
        <f t="shared" si="30"/>
        <v>0</v>
      </c>
    </row>
    <row r="251" spans="1:17">
      <c r="A251" s="64">
        <v>4520</v>
      </c>
      <c r="B251" s="65" t="s">
        <v>242</v>
      </c>
      <c r="C251" s="20">
        <f>VLOOKUP(A251,'Contribution Allocation_Report'!$A$9:$D$310,4,FALSE)</f>
        <v>3.0599999999999998E-5</v>
      </c>
      <c r="D251" s="11"/>
      <c r="E251" s="277">
        <f>VLOOKUP(A251,Contributions_20!$A$9:$D$308,4,FALSE)</f>
        <v>2.8500000000000002E-5</v>
      </c>
      <c r="F251" s="132"/>
      <c r="G251" s="148">
        <f t="shared" si="31"/>
        <v>10171</v>
      </c>
      <c r="H251" s="276">
        <f t="shared" si="32"/>
        <v>1701</v>
      </c>
      <c r="I251" s="129">
        <f t="shared" si="33"/>
        <v>8470</v>
      </c>
      <c r="J251" s="129"/>
      <c r="K251" s="126"/>
      <c r="L251" s="280">
        <f t="shared" si="37"/>
        <v>1701</v>
      </c>
      <c r="M251" s="280">
        <f t="shared" si="37"/>
        <v>1701</v>
      </c>
      <c r="N251" s="280">
        <f t="shared" si="37"/>
        <v>1701</v>
      </c>
      <c r="O251" s="280">
        <f t="shared" si="35"/>
        <v>1701</v>
      </c>
      <c r="P251" s="155">
        <f t="shared" si="36"/>
        <v>1666</v>
      </c>
      <c r="Q251" s="155">
        <f t="shared" si="30"/>
        <v>0</v>
      </c>
    </row>
    <row r="252" spans="1:17">
      <c r="A252" s="62">
        <v>9030</v>
      </c>
      <c r="B252" s="66" t="s">
        <v>243</v>
      </c>
      <c r="C252" s="21">
        <f>VLOOKUP(A252,'Contribution Allocation_Report'!$A$9:$D$310,4,FALSE)</f>
        <v>2.9339999999999998E-4</v>
      </c>
      <c r="D252" s="11"/>
      <c r="E252" s="277">
        <f>VLOOKUP(A252,Contributions_20!$A$9:$D$308,4,FALSE)</f>
        <v>2.9250000000000001E-4</v>
      </c>
      <c r="F252" s="132"/>
      <c r="G252" s="148">
        <f t="shared" si="31"/>
        <v>4359</v>
      </c>
      <c r="H252" s="276">
        <f t="shared" si="32"/>
        <v>729</v>
      </c>
      <c r="I252" s="129">
        <f t="shared" si="33"/>
        <v>3630</v>
      </c>
      <c r="J252" s="129"/>
      <c r="K252" s="126"/>
      <c r="L252" s="280">
        <f t="shared" si="37"/>
        <v>729</v>
      </c>
      <c r="M252" s="280">
        <f t="shared" si="37"/>
        <v>729</v>
      </c>
      <c r="N252" s="280">
        <f t="shared" si="37"/>
        <v>729</v>
      </c>
      <c r="O252" s="280">
        <f t="shared" si="35"/>
        <v>729</v>
      </c>
      <c r="P252" s="155">
        <f t="shared" si="36"/>
        <v>714</v>
      </c>
      <c r="Q252" s="155">
        <f t="shared" si="30"/>
        <v>0</v>
      </c>
    </row>
    <row r="253" spans="1:17">
      <c r="A253" s="64">
        <v>20265</v>
      </c>
      <c r="B253" s="65" t="s">
        <v>244</v>
      </c>
      <c r="C253" s="20">
        <f>VLOOKUP(A253,'Contribution Allocation_Report'!$A$9:$D$310,4,FALSE)</f>
        <v>2.7599999999999999E-4</v>
      </c>
      <c r="D253" s="11"/>
      <c r="E253" s="277">
        <f>VLOOKUP(A253,Contributions_20!$A$9:$D$308,4,FALSE)</f>
        <v>3.0840000000000002E-4</v>
      </c>
      <c r="F253" s="132"/>
      <c r="G253" s="148">
        <f t="shared" si="31"/>
        <v>-156919</v>
      </c>
      <c r="H253" s="276">
        <f t="shared" si="32"/>
        <v>-26241</v>
      </c>
      <c r="I253" s="129">
        <f t="shared" si="33"/>
        <v>-130678</v>
      </c>
      <c r="J253" s="129"/>
      <c r="K253" s="126"/>
      <c r="L253" s="280">
        <f t="shared" si="37"/>
        <v>-26241</v>
      </c>
      <c r="M253" s="280">
        <f t="shared" si="37"/>
        <v>-26241</v>
      </c>
      <c r="N253" s="280">
        <f t="shared" si="37"/>
        <v>-26241</v>
      </c>
      <c r="O253" s="280">
        <f t="shared" si="35"/>
        <v>-26241</v>
      </c>
      <c r="P253" s="155">
        <f t="shared" si="36"/>
        <v>-25714</v>
      </c>
      <c r="Q253" s="155">
        <f t="shared" si="30"/>
        <v>0</v>
      </c>
    </row>
    <row r="254" spans="1:17">
      <c r="A254" s="62">
        <v>20307</v>
      </c>
      <c r="B254" s="66" t="s">
        <v>245</v>
      </c>
      <c r="C254" s="21">
        <f>VLOOKUP(A254,'Contribution Allocation_Report'!$A$9:$D$310,4,FALSE)</f>
        <v>2.7E-4</v>
      </c>
      <c r="D254" s="11"/>
      <c r="E254" s="277">
        <f>VLOOKUP(A254,Contributions_20!$A$9:$D$308,4,FALSE)</f>
        <v>2.32E-4</v>
      </c>
      <c r="F254" s="132"/>
      <c r="G254" s="148">
        <f t="shared" si="31"/>
        <v>184040</v>
      </c>
      <c r="H254" s="276">
        <f t="shared" si="32"/>
        <v>30776</v>
      </c>
      <c r="I254" s="129">
        <f t="shared" si="33"/>
        <v>153264</v>
      </c>
      <c r="J254" s="129"/>
      <c r="K254" s="126"/>
      <c r="L254" s="280">
        <f t="shared" si="37"/>
        <v>30776</v>
      </c>
      <c r="M254" s="280">
        <f t="shared" si="37"/>
        <v>30776</v>
      </c>
      <c r="N254" s="280">
        <f t="shared" si="37"/>
        <v>30776</v>
      </c>
      <c r="O254" s="280">
        <f t="shared" si="35"/>
        <v>30776</v>
      </c>
      <c r="P254" s="155">
        <f t="shared" si="36"/>
        <v>30160</v>
      </c>
      <c r="Q254" s="155">
        <f t="shared" si="30"/>
        <v>0</v>
      </c>
    </row>
    <row r="255" spans="1:17">
      <c r="A255" s="64">
        <v>3320</v>
      </c>
      <c r="B255" s="65" t="s">
        <v>246</v>
      </c>
      <c r="C255" s="20">
        <f>VLOOKUP(A255,'Contribution Allocation_Report'!$A$9:$D$310,4,FALSE)</f>
        <v>2.0035999999999999E-3</v>
      </c>
      <c r="D255" s="11"/>
      <c r="E255" s="277">
        <f>VLOOKUP(A255,Contributions_20!$A$9:$D$308,4,FALSE)</f>
        <v>1.9168E-3</v>
      </c>
      <c r="F255" s="132"/>
      <c r="G255" s="148">
        <f t="shared" si="31"/>
        <v>420387</v>
      </c>
      <c r="H255" s="276">
        <f t="shared" si="32"/>
        <v>70299</v>
      </c>
      <c r="I255" s="129">
        <f t="shared" si="33"/>
        <v>350088</v>
      </c>
      <c r="J255" s="129"/>
      <c r="K255" s="126"/>
      <c r="L255" s="280">
        <f t="shared" si="37"/>
        <v>70299</v>
      </c>
      <c r="M255" s="280">
        <f t="shared" si="37"/>
        <v>70299</v>
      </c>
      <c r="N255" s="280">
        <f t="shared" si="37"/>
        <v>70299</v>
      </c>
      <c r="O255" s="280">
        <f t="shared" si="35"/>
        <v>70299</v>
      </c>
      <c r="P255" s="155">
        <f t="shared" si="36"/>
        <v>68892</v>
      </c>
      <c r="Q255" s="155">
        <f t="shared" si="30"/>
        <v>0</v>
      </c>
    </row>
    <row r="256" spans="1:17">
      <c r="A256" s="62">
        <v>20415</v>
      </c>
      <c r="B256" s="66" t="s">
        <v>247</v>
      </c>
      <c r="C256" s="21">
        <f>VLOOKUP(A256,'Contribution Allocation_Report'!$A$9:$D$310,4,FALSE)</f>
        <v>1.8689999999999999E-4</v>
      </c>
      <c r="D256" s="11"/>
      <c r="E256" s="277">
        <f>VLOOKUP(A256,Contributions_20!$A$9:$D$308,4,FALSE)</f>
        <v>1.7929999999999999E-4</v>
      </c>
      <c r="F256" s="132"/>
      <c r="G256" s="148">
        <f t="shared" si="31"/>
        <v>36808</v>
      </c>
      <c r="H256" s="276">
        <f t="shared" si="32"/>
        <v>6155</v>
      </c>
      <c r="I256" s="129">
        <f t="shared" si="33"/>
        <v>30653</v>
      </c>
      <c r="J256" s="129"/>
      <c r="K256" s="126"/>
      <c r="L256" s="280">
        <f t="shared" si="37"/>
        <v>6155</v>
      </c>
      <c r="M256" s="280">
        <f t="shared" si="37"/>
        <v>6155</v>
      </c>
      <c r="N256" s="280">
        <f t="shared" si="37"/>
        <v>6155</v>
      </c>
      <c r="O256" s="280">
        <f t="shared" si="35"/>
        <v>6155</v>
      </c>
      <c r="P256" s="155">
        <f t="shared" si="36"/>
        <v>6033</v>
      </c>
      <c r="Q256" s="155">
        <f t="shared" si="30"/>
        <v>0</v>
      </c>
    </row>
    <row r="257" spans="1:17">
      <c r="A257" s="64">
        <v>20435</v>
      </c>
      <c r="B257" s="65" t="s">
        <v>441</v>
      </c>
      <c r="C257" s="20">
        <f>VLOOKUP(A257,'Contribution Allocation_Report'!$A$9:$D$310,4,FALSE)</f>
        <v>2.284E-4</v>
      </c>
      <c r="D257" s="11"/>
      <c r="E257" s="277">
        <f>VLOOKUP(A257,Contributions_20!$A$9:$D$308,4,FALSE)</f>
        <v>2.2709999999999999E-4</v>
      </c>
      <c r="F257" s="132"/>
      <c r="G257" s="148">
        <f t="shared" si="31"/>
        <v>6296</v>
      </c>
      <c r="H257" s="276">
        <f t="shared" si="32"/>
        <v>1053</v>
      </c>
      <c r="I257" s="129">
        <f t="shared" si="33"/>
        <v>5243</v>
      </c>
      <c r="J257" s="129"/>
      <c r="K257" s="126"/>
      <c r="L257" s="280">
        <f t="shared" si="37"/>
        <v>1053</v>
      </c>
      <c r="M257" s="280">
        <f t="shared" si="37"/>
        <v>1053</v>
      </c>
      <c r="N257" s="280">
        <f t="shared" si="37"/>
        <v>1053</v>
      </c>
      <c r="O257" s="280">
        <f t="shared" si="35"/>
        <v>1053</v>
      </c>
      <c r="P257" s="155">
        <f t="shared" si="36"/>
        <v>1031</v>
      </c>
      <c r="Q257" s="155">
        <f t="shared" si="30"/>
        <v>0</v>
      </c>
    </row>
    <row r="258" spans="1:17">
      <c r="A258" s="62">
        <v>20062</v>
      </c>
      <c r="B258" s="66" t="s">
        <v>248</v>
      </c>
      <c r="C258" s="21">
        <f>VLOOKUP(A258,'Contribution Allocation_Report'!$A$9:$D$310,4,FALSE)</f>
        <v>3.1367999999999999E-3</v>
      </c>
      <c r="D258" s="11"/>
      <c r="E258" s="277">
        <f>VLOOKUP(A258,Contributions_20!$A$9:$D$308,4,FALSE)</f>
        <v>3.0117999999999998E-3</v>
      </c>
      <c r="F258" s="132"/>
      <c r="G258" s="148">
        <f t="shared" si="31"/>
        <v>605396</v>
      </c>
      <c r="H258" s="276">
        <f t="shared" si="32"/>
        <v>101237</v>
      </c>
      <c r="I258" s="129">
        <f t="shared" si="33"/>
        <v>504159</v>
      </c>
      <c r="J258" s="129"/>
      <c r="K258" s="126"/>
      <c r="L258" s="280">
        <f t="shared" si="37"/>
        <v>101237</v>
      </c>
      <c r="M258" s="280">
        <f t="shared" si="37"/>
        <v>101237</v>
      </c>
      <c r="N258" s="280">
        <f t="shared" si="37"/>
        <v>101237</v>
      </c>
      <c r="O258" s="280">
        <f t="shared" si="35"/>
        <v>101237</v>
      </c>
      <c r="P258" s="155">
        <f t="shared" si="36"/>
        <v>99211</v>
      </c>
      <c r="Q258" s="155">
        <f t="shared" si="30"/>
        <v>0</v>
      </c>
    </row>
    <row r="259" spans="1:17">
      <c r="A259" s="64">
        <v>6020</v>
      </c>
      <c r="B259" s="65" t="s">
        <v>249</v>
      </c>
      <c r="C259" s="20">
        <f>VLOOKUP(A259,'Contribution Allocation_Report'!$A$9:$D$310,4,FALSE)</f>
        <v>5.9380000000000001E-4</v>
      </c>
      <c r="D259" s="11"/>
      <c r="E259" s="277">
        <f>VLOOKUP(A259,Contributions_20!$A$9:$D$308,4,FALSE)</f>
        <v>5.708E-4</v>
      </c>
      <c r="F259" s="132"/>
      <c r="G259" s="148">
        <f t="shared" si="31"/>
        <v>111393</v>
      </c>
      <c r="H259" s="276">
        <f t="shared" si="32"/>
        <v>18628</v>
      </c>
      <c r="I259" s="129">
        <f t="shared" si="33"/>
        <v>92765</v>
      </c>
      <c r="J259" s="129"/>
      <c r="K259" s="126"/>
      <c r="L259" s="280">
        <f t="shared" si="37"/>
        <v>18628</v>
      </c>
      <c r="M259" s="280">
        <f t="shared" si="37"/>
        <v>18628</v>
      </c>
      <c r="N259" s="280">
        <f t="shared" si="37"/>
        <v>18628</v>
      </c>
      <c r="O259" s="280">
        <f t="shared" si="35"/>
        <v>18628</v>
      </c>
      <c r="P259" s="155">
        <f t="shared" si="36"/>
        <v>18253</v>
      </c>
      <c r="Q259" s="155">
        <f t="shared" si="30"/>
        <v>0</v>
      </c>
    </row>
    <row r="260" spans="1:17">
      <c r="A260" s="62">
        <v>2394</v>
      </c>
      <c r="B260" s="66" t="s">
        <v>250</v>
      </c>
      <c r="C260" s="21">
        <f>VLOOKUP(A260,'Contribution Allocation_Report'!$A$9:$D$310,4,FALSE)</f>
        <v>3.1110000000000003E-4</v>
      </c>
      <c r="D260" s="11"/>
      <c r="E260" s="277">
        <f>VLOOKUP(A260,Contributions_20!$A$9:$D$308,4,FALSE)</f>
        <v>3.0079999999999999E-4</v>
      </c>
      <c r="F260" s="132"/>
      <c r="G260" s="148">
        <f t="shared" si="31"/>
        <v>49885</v>
      </c>
      <c r="H260" s="276">
        <f t="shared" si="32"/>
        <v>8342</v>
      </c>
      <c r="I260" s="129">
        <f t="shared" si="33"/>
        <v>41543</v>
      </c>
      <c r="J260" s="129"/>
      <c r="K260" s="126"/>
      <c r="L260" s="280">
        <f t="shared" si="37"/>
        <v>8342</v>
      </c>
      <c r="M260" s="280">
        <f t="shared" si="37"/>
        <v>8342</v>
      </c>
      <c r="N260" s="280">
        <f t="shared" si="37"/>
        <v>8342</v>
      </c>
      <c r="O260" s="280">
        <f t="shared" si="35"/>
        <v>8342</v>
      </c>
      <c r="P260" s="155">
        <f t="shared" si="36"/>
        <v>8175</v>
      </c>
      <c r="Q260" s="155">
        <f t="shared" si="30"/>
        <v>0</v>
      </c>
    </row>
    <row r="261" spans="1:17">
      <c r="A261" s="64">
        <v>5015</v>
      </c>
      <c r="B261" s="65" t="s">
        <v>251</v>
      </c>
      <c r="C261" s="20">
        <f>VLOOKUP(A261,'Contribution Allocation_Report'!$A$9:$D$310,4,FALSE)</f>
        <v>8.4480000000000004E-4</v>
      </c>
      <c r="D261" s="11"/>
      <c r="E261" s="277">
        <f>VLOOKUP(A261,Contributions_20!$A$9:$D$308,4,FALSE)</f>
        <v>8.1720000000000002E-4</v>
      </c>
      <c r="F261" s="132"/>
      <c r="G261" s="148">
        <f t="shared" si="31"/>
        <v>133671</v>
      </c>
      <c r="H261" s="276">
        <f t="shared" si="32"/>
        <v>22353</v>
      </c>
      <c r="I261" s="129">
        <f t="shared" si="33"/>
        <v>111318</v>
      </c>
      <c r="J261" s="129"/>
      <c r="K261" s="126"/>
      <c r="L261" s="280">
        <f t="shared" si="37"/>
        <v>22353</v>
      </c>
      <c r="M261" s="280">
        <f t="shared" si="37"/>
        <v>22353</v>
      </c>
      <c r="N261" s="280">
        <f t="shared" si="37"/>
        <v>22353</v>
      </c>
      <c r="O261" s="280">
        <f t="shared" si="35"/>
        <v>22353</v>
      </c>
      <c r="P261" s="155">
        <f t="shared" si="36"/>
        <v>21906</v>
      </c>
      <c r="Q261" s="155">
        <f t="shared" si="30"/>
        <v>0</v>
      </c>
    </row>
    <row r="262" spans="1:17">
      <c r="A262" s="62">
        <v>29408</v>
      </c>
      <c r="B262" s="66" t="s">
        <v>252</v>
      </c>
      <c r="C262" s="21">
        <f>VLOOKUP(A262,'Contribution Allocation_Report'!$A$9:$D$310,4,FALSE)</f>
        <v>5.6229999999999995E-4</v>
      </c>
      <c r="D262" s="11"/>
      <c r="E262" s="277">
        <f>VLOOKUP(A262,Contributions_20!$A$9:$D$308,4,FALSE)</f>
        <v>5.1270000000000005E-4</v>
      </c>
      <c r="F262" s="132"/>
      <c r="G262" s="148">
        <f t="shared" si="31"/>
        <v>240221</v>
      </c>
      <c r="H262" s="276">
        <f t="shared" si="32"/>
        <v>40171</v>
      </c>
      <c r="I262" s="129">
        <f t="shared" si="33"/>
        <v>200050</v>
      </c>
      <c r="J262" s="129"/>
      <c r="K262" s="126"/>
      <c r="L262" s="280">
        <f t="shared" si="37"/>
        <v>40171</v>
      </c>
      <c r="M262" s="280">
        <f t="shared" si="37"/>
        <v>40171</v>
      </c>
      <c r="N262" s="280">
        <f t="shared" si="37"/>
        <v>40171</v>
      </c>
      <c r="O262" s="280">
        <f t="shared" si="35"/>
        <v>40171</v>
      </c>
      <c r="P262" s="155">
        <f t="shared" si="36"/>
        <v>39366</v>
      </c>
      <c r="Q262" s="155">
        <f t="shared" si="30"/>
        <v>0</v>
      </c>
    </row>
    <row r="263" spans="1:17">
      <c r="A263" s="64">
        <v>2413</v>
      </c>
      <c r="B263" s="65" t="s">
        <v>253</v>
      </c>
      <c r="C263" s="20">
        <f>VLOOKUP(A263,'Contribution Allocation_Report'!$A$9:$D$310,4,FALSE)</f>
        <v>1.4469999999999999E-4</v>
      </c>
      <c r="D263" s="11"/>
      <c r="E263" s="277">
        <f>VLOOKUP(A263,Contributions_20!$A$9:$D$308,4,FALSE)</f>
        <v>1.7579999999999999E-4</v>
      </c>
      <c r="F263" s="132"/>
      <c r="G263" s="148">
        <f t="shared" si="31"/>
        <v>-150623</v>
      </c>
      <c r="H263" s="276">
        <f t="shared" ref="H263:H306" si="43">ROUND(G263/5.98,0)</f>
        <v>-25188</v>
      </c>
      <c r="I263" s="129">
        <f t="shared" si="33"/>
        <v>-125435</v>
      </c>
      <c r="J263" s="129"/>
      <c r="K263" s="126"/>
      <c r="L263" s="280">
        <f t="shared" ref="L263:N306" si="44">ROUND($I263/4.98,0)</f>
        <v>-25188</v>
      </c>
      <c r="M263" s="280">
        <f t="shared" si="44"/>
        <v>-25188</v>
      </c>
      <c r="N263" s="280">
        <f t="shared" si="44"/>
        <v>-25188</v>
      </c>
      <c r="O263" s="280">
        <f t="shared" ref="O263:O306" si="45">ROUND($I263/4.98,0)</f>
        <v>-25188</v>
      </c>
      <c r="P263" s="155">
        <f t="shared" si="36"/>
        <v>-24683</v>
      </c>
      <c r="Q263" s="155">
        <f t="shared" ref="Q263:Q306" si="46">+I263-SUM(L263:P263)</f>
        <v>0</v>
      </c>
    </row>
    <row r="264" spans="1:17">
      <c r="A264" s="62">
        <v>1398</v>
      </c>
      <c r="B264" s="66" t="s">
        <v>254</v>
      </c>
      <c r="C264" s="21">
        <f>VLOOKUP(A264,'Contribution Allocation_Report'!$A$9:$D$310,4,FALSE)</f>
        <v>2.6069999999999999E-4</v>
      </c>
      <c r="D264" s="11"/>
      <c r="E264" s="277">
        <f>VLOOKUP(A264,Contributions_20!$A$9:$D$308,4,FALSE)</f>
        <v>2.6879999999999997E-4</v>
      </c>
      <c r="F264" s="132"/>
      <c r="G264" s="148">
        <f t="shared" ref="G264:G306" si="47">ROUND((E264-C264)*$G$322,0)</f>
        <v>-39230</v>
      </c>
      <c r="H264" s="276">
        <f t="shared" si="43"/>
        <v>-6560</v>
      </c>
      <c r="I264" s="129">
        <f t="shared" ref="I264:I306" si="48">G264-H264</f>
        <v>-32670</v>
      </c>
      <c r="J264" s="129"/>
      <c r="K264" s="126"/>
      <c r="L264" s="280">
        <f t="shared" si="44"/>
        <v>-6560</v>
      </c>
      <c r="M264" s="280">
        <f t="shared" si="44"/>
        <v>-6560</v>
      </c>
      <c r="N264" s="280">
        <f t="shared" si="44"/>
        <v>-6560</v>
      </c>
      <c r="O264" s="280">
        <f t="shared" si="45"/>
        <v>-6560</v>
      </c>
      <c r="P264" s="155">
        <f t="shared" ref="P264:P306" si="49">I264-SUM(L264:O264)</f>
        <v>-6430</v>
      </c>
      <c r="Q264" s="155">
        <f t="shared" si="46"/>
        <v>0</v>
      </c>
    </row>
    <row r="265" spans="1:17">
      <c r="A265" s="64">
        <v>2366</v>
      </c>
      <c r="B265" s="65" t="s">
        <v>255</v>
      </c>
      <c r="C265" s="20">
        <f>VLOOKUP(A265,'Contribution Allocation_Report'!$A$9:$D$310,4,FALSE)</f>
        <v>2.744E-4</v>
      </c>
      <c r="D265" s="11"/>
      <c r="E265" s="277">
        <f>VLOOKUP(A265,Contributions_20!$A$9:$D$308,4,FALSE)</f>
        <v>2.6620000000000002E-4</v>
      </c>
      <c r="F265" s="132"/>
      <c r="G265" s="148">
        <f t="shared" si="47"/>
        <v>39714</v>
      </c>
      <c r="H265" s="276">
        <f t="shared" si="43"/>
        <v>6641</v>
      </c>
      <c r="I265" s="129">
        <f t="shared" si="48"/>
        <v>33073</v>
      </c>
      <c r="J265" s="129"/>
      <c r="K265" s="126"/>
      <c r="L265" s="280">
        <f t="shared" si="44"/>
        <v>6641</v>
      </c>
      <c r="M265" s="280">
        <f t="shared" si="44"/>
        <v>6641</v>
      </c>
      <c r="N265" s="280">
        <f t="shared" si="44"/>
        <v>6641</v>
      </c>
      <c r="O265" s="280">
        <f t="shared" si="45"/>
        <v>6641</v>
      </c>
      <c r="P265" s="155">
        <f t="shared" si="49"/>
        <v>6509</v>
      </c>
      <c r="Q265" s="155">
        <f t="shared" si="46"/>
        <v>0</v>
      </c>
    </row>
    <row r="266" spans="1:17">
      <c r="A266" s="62">
        <v>7421</v>
      </c>
      <c r="B266" s="66" t="s">
        <v>256</v>
      </c>
      <c r="C266" s="21">
        <f>VLOOKUP(A266,'Contribution Allocation_Report'!$A$9:$D$310,4,FALSE)</f>
        <v>2.117E-4</v>
      </c>
      <c r="D266" s="11"/>
      <c r="E266" s="277">
        <f>VLOOKUP(A266,Contributions_20!$A$9:$D$308,4,FALSE)</f>
        <v>2.0770000000000001E-4</v>
      </c>
      <c r="F266" s="132"/>
      <c r="G266" s="148">
        <f t="shared" si="47"/>
        <v>19373</v>
      </c>
      <c r="H266" s="276">
        <f t="shared" si="43"/>
        <v>3240</v>
      </c>
      <c r="I266" s="129">
        <f t="shared" si="48"/>
        <v>16133</v>
      </c>
      <c r="J266" s="129"/>
      <c r="K266" s="126"/>
      <c r="L266" s="280">
        <f t="shared" si="44"/>
        <v>3240</v>
      </c>
      <c r="M266" s="280">
        <f t="shared" si="44"/>
        <v>3240</v>
      </c>
      <c r="N266" s="280">
        <f t="shared" si="44"/>
        <v>3240</v>
      </c>
      <c r="O266" s="280">
        <f t="shared" si="45"/>
        <v>3240</v>
      </c>
      <c r="P266" s="155">
        <f t="shared" si="49"/>
        <v>3173</v>
      </c>
      <c r="Q266" s="155">
        <f t="shared" si="46"/>
        <v>0</v>
      </c>
    </row>
    <row r="267" spans="1:17">
      <c r="A267" s="64">
        <v>2370</v>
      </c>
      <c r="B267" s="65" t="s">
        <v>257</v>
      </c>
      <c r="C267" s="20">
        <f>VLOOKUP(A267,'Contribution Allocation_Report'!$A$9:$D$310,4,FALSE)</f>
        <v>4.014E-4</v>
      </c>
      <c r="D267" s="11"/>
      <c r="E267" s="277">
        <f>VLOOKUP(A267,Contributions_20!$A$9:$D$308,4,FALSE)</f>
        <v>3.834E-4</v>
      </c>
      <c r="F267" s="132"/>
      <c r="G267" s="148">
        <f t="shared" si="47"/>
        <v>87177</v>
      </c>
      <c r="H267" s="276">
        <f t="shared" si="43"/>
        <v>14578</v>
      </c>
      <c r="I267" s="129">
        <f t="shared" si="48"/>
        <v>72599</v>
      </c>
      <c r="J267" s="129"/>
      <c r="K267" s="126"/>
      <c r="L267" s="280">
        <f t="shared" si="44"/>
        <v>14578</v>
      </c>
      <c r="M267" s="280">
        <f t="shared" si="44"/>
        <v>14578</v>
      </c>
      <c r="N267" s="280">
        <f t="shared" si="44"/>
        <v>14578</v>
      </c>
      <c r="O267" s="280">
        <f t="shared" si="45"/>
        <v>14578</v>
      </c>
      <c r="P267" s="155">
        <f t="shared" si="49"/>
        <v>14287</v>
      </c>
      <c r="Q267" s="155">
        <f t="shared" si="46"/>
        <v>0</v>
      </c>
    </row>
    <row r="268" spans="1:17">
      <c r="A268" s="62">
        <v>32094</v>
      </c>
      <c r="B268" s="66" t="s">
        <v>258</v>
      </c>
      <c r="C268" s="21">
        <f>VLOOKUP(A268,'Contribution Allocation_Report'!$A$9:$D$310,4,FALSE)</f>
        <v>4.0910000000000002E-4</v>
      </c>
      <c r="D268" s="11"/>
      <c r="E268" s="277">
        <f>VLOOKUP(A268,Contributions_20!$A$9:$D$308,4,FALSE)</f>
        <v>3.992E-4</v>
      </c>
      <c r="F268" s="132"/>
      <c r="G268" s="148">
        <f t="shared" si="47"/>
        <v>47947</v>
      </c>
      <c r="H268" s="276">
        <f t="shared" si="43"/>
        <v>8018</v>
      </c>
      <c r="I268" s="129">
        <f t="shared" si="48"/>
        <v>39929</v>
      </c>
      <c r="J268" s="129"/>
      <c r="K268" s="126"/>
      <c r="L268" s="280">
        <f t="shared" si="44"/>
        <v>8018</v>
      </c>
      <c r="M268" s="280">
        <f t="shared" si="44"/>
        <v>8018</v>
      </c>
      <c r="N268" s="280">
        <f t="shared" si="44"/>
        <v>8018</v>
      </c>
      <c r="O268" s="280">
        <f t="shared" si="45"/>
        <v>8018</v>
      </c>
      <c r="P268" s="155">
        <f t="shared" si="49"/>
        <v>7857</v>
      </c>
      <c r="Q268" s="155">
        <f t="shared" si="46"/>
        <v>0</v>
      </c>
    </row>
    <row r="269" spans="1:17">
      <c r="A269" s="64">
        <v>2790</v>
      </c>
      <c r="B269" s="65" t="s">
        <v>259</v>
      </c>
      <c r="C269" s="20">
        <f>VLOOKUP(A269,'Contribution Allocation_Report'!$A$9:$D$310,4,FALSE)</f>
        <v>4.5300000000000003E-5</v>
      </c>
      <c r="D269" s="11"/>
      <c r="E269" s="277">
        <f>VLOOKUP(A269,Contributions_20!$A$9:$D$308,4,FALSE)</f>
        <v>3.5099999999999999E-5</v>
      </c>
      <c r="F269" s="132"/>
      <c r="G269" s="148">
        <f t="shared" si="47"/>
        <v>49400</v>
      </c>
      <c r="H269" s="276">
        <f t="shared" si="43"/>
        <v>8261</v>
      </c>
      <c r="I269" s="129">
        <f t="shared" si="48"/>
        <v>41139</v>
      </c>
      <c r="J269" s="129"/>
      <c r="K269" s="126"/>
      <c r="L269" s="280">
        <f t="shared" si="44"/>
        <v>8261</v>
      </c>
      <c r="M269" s="280">
        <f t="shared" si="44"/>
        <v>8261</v>
      </c>
      <c r="N269" s="280">
        <f t="shared" si="44"/>
        <v>8261</v>
      </c>
      <c r="O269" s="280">
        <f t="shared" si="45"/>
        <v>8261</v>
      </c>
      <c r="P269" s="155">
        <f t="shared" si="49"/>
        <v>8095</v>
      </c>
      <c r="Q269" s="155">
        <f t="shared" si="46"/>
        <v>0</v>
      </c>
    </row>
    <row r="270" spans="1:17">
      <c r="A270" s="62">
        <v>3330</v>
      </c>
      <c r="B270" s="66" t="s">
        <v>260</v>
      </c>
      <c r="C270" s="21">
        <f>VLOOKUP(A270,'Contribution Allocation_Report'!$A$9:$D$310,4,FALSE)</f>
        <v>9.077E-4</v>
      </c>
      <c r="D270" s="11"/>
      <c r="E270" s="277">
        <f>VLOOKUP(A270,Contributions_20!$A$9:$D$308,4,FALSE)</f>
        <v>8.5139999999999999E-4</v>
      </c>
      <c r="F270" s="132"/>
      <c r="G270" s="148">
        <f t="shared" si="47"/>
        <v>272670</v>
      </c>
      <c r="H270" s="276">
        <f t="shared" si="43"/>
        <v>45597</v>
      </c>
      <c r="I270" s="129">
        <f t="shared" si="48"/>
        <v>227073</v>
      </c>
      <c r="J270" s="129"/>
      <c r="K270" s="126"/>
      <c r="L270" s="280">
        <f t="shared" si="44"/>
        <v>45597</v>
      </c>
      <c r="M270" s="280">
        <f t="shared" si="44"/>
        <v>45597</v>
      </c>
      <c r="N270" s="280">
        <f t="shared" si="44"/>
        <v>45597</v>
      </c>
      <c r="O270" s="280">
        <f t="shared" si="45"/>
        <v>45597</v>
      </c>
      <c r="P270" s="155">
        <f t="shared" si="49"/>
        <v>44685</v>
      </c>
      <c r="Q270" s="155">
        <f t="shared" si="46"/>
        <v>0</v>
      </c>
    </row>
    <row r="271" spans="1:17">
      <c r="A271" s="64">
        <v>2080</v>
      </c>
      <c r="B271" s="65" t="s">
        <v>261</v>
      </c>
      <c r="C271" s="20">
        <f>VLOOKUP(A271,'Contribution Allocation_Report'!$A$9:$D$310,4,FALSE)</f>
        <v>1.0357000000000001E-3</v>
      </c>
      <c r="D271" s="11"/>
      <c r="E271" s="277">
        <f>VLOOKUP(A271,Contributions_20!$A$9:$D$308,4,FALSE)</f>
        <v>1.0839999999999999E-3</v>
      </c>
      <c r="F271" s="132"/>
      <c r="G271" s="148">
        <f t="shared" si="47"/>
        <v>-233925</v>
      </c>
      <c r="H271" s="276">
        <f t="shared" si="43"/>
        <v>-39118</v>
      </c>
      <c r="I271" s="129">
        <f t="shared" si="48"/>
        <v>-194807</v>
      </c>
      <c r="J271" s="129"/>
      <c r="K271" s="126"/>
      <c r="L271" s="280">
        <f t="shared" si="44"/>
        <v>-39118</v>
      </c>
      <c r="M271" s="280">
        <f t="shared" si="44"/>
        <v>-39118</v>
      </c>
      <c r="N271" s="280">
        <f t="shared" si="44"/>
        <v>-39118</v>
      </c>
      <c r="O271" s="280">
        <f t="shared" si="45"/>
        <v>-39118</v>
      </c>
      <c r="P271" s="155">
        <f t="shared" si="49"/>
        <v>-38335</v>
      </c>
      <c r="Q271" s="155">
        <f t="shared" si="46"/>
        <v>0</v>
      </c>
    </row>
    <row r="272" spans="1:17">
      <c r="A272" s="62">
        <v>4290</v>
      </c>
      <c r="B272" s="66" t="s">
        <v>262</v>
      </c>
      <c r="C272" s="21">
        <f>VLOOKUP(A272,'Contribution Allocation_Report'!$A$9:$D$310,4,FALSE)</f>
        <v>3.4089999999999999E-4</v>
      </c>
      <c r="D272" s="11"/>
      <c r="E272" s="277">
        <f>VLOOKUP(A272,Contributions_20!$A$9:$D$308,4,FALSE)</f>
        <v>3.4039999999999998E-4</v>
      </c>
      <c r="F272" s="132"/>
      <c r="G272" s="148">
        <f t="shared" si="47"/>
        <v>2422</v>
      </c>
      <c r="H272" s="276">
        <f t="shared" si="43"/>
        <v>405</v>
      </c>
      <c r="I272" s="129">
        <f t="shared" si="48"/>
        <v>2017</v>
      </c>
      <c r="J272" s="129"/>
      <c r="K272" s="126"/>
      <c r="L272" s="280">
        <f t="shared" si="44"/>
        <v>405</v>
      </c>
      <c r="M272" s="280">
        <f t="shared" si="44"/>
        <v>405</v>
      </c>
      <c r="N272" s="280">
        <f t="shared" si="44"/>
        <v>405</v>
      </c>
      <c r="O272" s="280">
        <f t="shared" si="45"/>
        <v>405</v>
      </c>
      <c r="P272" s="155">
        <f t="shared" si="49"/>
        <v>397</v>
      </c>
      <c r="Q272" s="155">
        <f t="shared" si="46"/>
        <v>0</v>
      </c>
    </row>
    <row r="273" spans="1:17">
      <c r="A273" s="64">
        <v>2270</v>
      </c>
      <c r="B273" s="65" t="s">
        <v>263</v>
      </c>
      <c r="C273" s="20">
        <f>VLOOKUP(A273,'Contribution Allocation_Report'!$A$9:$D$310,4,FALSE)</f>
        <v>1.9400000000000001E-5</v>
      </c>
      <c r="D273" s="11"/>
      <c r="E273" s="277">
        <f>VLOOKUP(A273,Contributions_20!$A$9:$D$308,4,FALSE)</f>
        <v>2.55E-5</v>
      </c>
      <c r="F273" s="132"/>
      <c r="G273" s="148">
        <f t="shared" si="47"/>
        <v>-29543</v>
      </c>
      <c r="H273" s="276">
        <f t="shared" si="43"/>
        <v>-4940</v>
      </c>
      <c r="I273" s="129">
        <f t="shared" si="48"/>
        <v>-24603</v>
      </c>
      <c r="J273" s="129"/>
      <c r="K273" s="126"/>
      <c r="L273" s="280">
        <f t="shared" si="44"/>
        <v>-4940</v>
      </c>
      <c r="M273" s="280">
        <f t="shared" si="44"/>
        <v>-4940</v>
      </c>
      <c r="N273" s="280">
        <f t="shared" si="44"/>
        <v>-4940</v>
      </c>
      <c r="O273" s="280">
        <f t="shared" si="45"/>
        <v>-4940</v>
      </c>
      <c r="P273" s="155">
        <f t="shared" si="49"/>
        <v>-4843</v>
      </c>
      <c r="Q273" s="155">
        <f t="shared" si="46"/>
        <v>0</v>
      </c>
    </row>
    <row r="274" spans="1:17">
      <c r="A274" s="62">
        <v>2300</v>
      </c>
      <c r="B274" s="66" t="s">
        <v>264</v>
      </c>
      <c r="C274" s="21">
        <f>VLOOKUP(A274,'Contribution Allocation_Report'!$A$9:$D$310,4,FALSE)</f>
        <v>9.1500000000000001E-5</v>
      </c>
      <c r="D274" s="11"/>
      <c r="E274" s="277">
        <f>VLOOKUP(A274,Contributions_20!$A$9:$D$308,4,FALSE)</f>
        <v>9.9199999999999999E-5</v>
      </c>
      <c r="F274" s="132"/>
      <c r="G274" s="148">
        <f t="shared" si="47"/>
        <v>-37292</v>
      </c>
      <c r="H274" s="276">
        <f t="shared" si="43"/>
        <v>-6236</v>
      </c>
      <c r="I274" s="129">
        <f t="shared" si="48"/>
        <v>-31056</v>
      </c>
      <c r="J274" s="129"/>
      <c r="K274" s="126"/>
      <c r="L274" s="280">
        <f t="shared" si="44"/>
        <v>-6236</v>
      </c>
      <c r="M274" s="280">
        <f t="shared" si="44"/>
        <v>-6236</v>
      </c>
      <c r="N274" s="280">
        <f t="shared" si="44"/>
        <v>-6236</v>
      </c>
      <c r="O274" s="280">
        <f t="shared" si="45"/>
        <v>-6236</v>
      </c>
      <c r="P274" s="155">
        <f t="shared" si="49"/>
        <v>-6112</v>
      </c>
      <c r="Q274" s="155">
        <f t="shared" si="46"/>
        <v>0</v>
      </c>
    </row>
    <row r="275" spans="1:17">
      <c r="A275" s="64">
        <v>2720</v>
      </c>
      <c r="B275" s="65" t="s">
        <v>265</v>
      </c>
      <c r="C275" s="20">
        <f>VLOOKUP(A275,'Contribution Allocation_Report'!$A$9:$D$310,4,FALSE)</f>
        <v>1.3488E-3</v>
      </c>
      <c r="D275" s="11"/>
      <c r="E275" s="277">
        <f>VLOOKUP(A275,Contributions_20!$A$9:$D$308,4,FALSE)</f>
        <v>1.3277E-3</v>
      </c>
      <c r="F275" s="132"/>
      <c r="G275" s="148">
        <f t="shared" si="47"/>
        <v>102191</v>
      </c>
      <c r="H275" s="276">
        <f t="shared" si="43"/>
        <v>17089</v>
      </c>
      <c r="I275" s="129">
        <f t="shared" si="48"/>
        <v>85102</v>
      </c>
      <c r="J275" s="129"/>
      <c r="K275" s="126"/>
      <c r="L275" s="280">
        <f t="shared" si="44"/>
        <v>17089</v>
      </c>
      <c r="M275" s="280">
        <f t="shared" si="44"/>
        <v>17089</v>
      </c>
      <c r="N275" s="280">
        <f t="shared" si="44"/>
        <v>17089</v>
      </c>
      <c r="O275" s="280">
        <f t="shared" si="45"/>
        <v>17089</v>
      </c>
      <c r="P275" s="155">
        <f t="shared" si="49"/>
        <v>16746</v>
      </c>
      <c r="Q275" s="155">
        <f t="shared" si="46"/>
        <v>0</v>
      </c>
    </row>
    <row r="276" spans="1:17">
      <c r="A276" s="62">
        <v>2750</v>
      </c>
      <c r="B276" s="66" t="s">
        <v>266</v>
      </c>
      <c r="C276" s="21">
        <f>VLOOKUP(A276,'Contribution Allocation_Report'!$A$9:$D$310,4,FALSE)</f>
        <v>8.8700000000000001E-5</v>
      </c>
      <c r="D276" s="11"/>
      <c r="E276" s="277">
        <f>VLOOKUP(A276,Contributions_20!$A$9:$D$308,4,FALSE)</f>
        <v>9.7200000000000004E-5</v>
      </c>
      <c r="F276" s="132"/>
      <c r="G276" s="148">
        <f t="shared" si="47"/>
        <v>-41167</v>
      </c>
      <c r="H276" s="276">
        <f t="shared" si="43"/>
        <v>-6884</v>
      </c>
      <c r="I276" s="129">
        <f t="shared" si="48"/>
        <v>-34283</v>
      </c>
      <c r="J276" s="129"/>
      <c r="K276" s="126"/>
      <c r="L276" s="280">
        <f t="shared" si="44"/>
        <v>-6884</v>
      </c>
      <c r="M276" s="280">
        <f t="shared" si="44"/>
        <v>-6884</v>
      </c>
      <c r="N276" s="280">
        <f t="shared" si="44"/>
        <v>-6884</v>
      </c>
      <c r="O276" s="280">
        <f t="shared" si="45"/>
        <v>-6884</v>
      </c>
      <c r="P276" s="155">
        <f t="shared" si="49"/>
        <v>-6747</v>
      </c>
      <c r="Q276" s="155">
        <f t="shared" si="46"/>
        <v>0</v>
      </c>
    </row>
    <row r="277" spans="1:17">
      <c r="A277" s="64">
        <v>2770</v>
      </c>
      <c r="B277" s="65" t="s">
        <v>267</v>
      </c>
      <c r="C277" s="20">
        <f>VLOOKUP(A277,'Contribution Allocation_Report'!$A$9:$D$310,4,FALSE)</f>
        <v>1.0379E-3</v>
      </c>
      <c r="D277" s="11"/>
      <c r="E277" s="277">
        <f>VLOOKUP(A277,Contributions_20!$A$9:$D$308,4,FALSE)</f>
        <v>1.1054999999999999E-3</v>
      </c>
      <c r="F277" s="132"/>
      <c r="G277" s="148">
        <f t="shared" si="47"/>
        <v>-327398</v>
      </c>
      <c r="H277" s="276">
        <f t="shared" si="43"/>
        <v>-54749</v>
      </c>
      <c r="I277" s="129">
        <f t="shared" si="48"/>
        <v>-272649</v>
      </c>
      <c r="J277" s="129"/>
      <c r="K277" s="126"/>
      <c r="L277" s="280">
        <f t="shared" si="44"/>
        <v>-54749</v>
      </c>
      <c r="M277" s="280">
        <f t="shared" si="44"/>
        <v>-54749</v>
      </c>
      <c r="N277" s="280">
        <f t="shared" si="44"/>
        <v>-54749</v>
      </c>
      <c r="O277" s="280">
        <f t="shared" si="45"/>
        <v>-54749</v>
      </c>
      <c r="P277" s="155">
        <f t="shared" si="49"/>
        <v>-53653</v>
      </c>
      <c r="Q277" s="155">
        <f t="shared" si="46"/>
        <v>0</v>
      </c>
    </row>
    <row r="278" spans="1:17">
      <c r="A278" s="62">
        <v>32106</v>
      </c>
      <c r="B278" s="66" t="s">
        <v>268</v>
      </c>
      <c r="C278" s="21">
        <f>VLOOKUP(A278,'Contribution Allocation_Report'!$A$9:$D$310,4,FALSE)</f>
        <v>1.604E-4</v>
      </c>
      <c r="D278" s="11"/>
      <c r="E278" s="277">
        <f>VLOOKUP(A278,Contributions_20!$A$9:$D$308,4,FALSE)</f>
        <v>1.189E-4</v>
      </c>
      <c r="F278" s="132"/>
      <c r="G278" s="148">
        <f t="shared" si="47"/>
        <v>200992</v>
      </c>
      <c r="H278" s="276">
        <f t="shared" si="43"/>
        <v>33611</v>
      </c>
      <c r="I278" s="129">
        <f t="shared" si="48"/>
        <v>167381</v>
      </c>
      <c r="J278" s="129"/>
      <c r="K278" s="126"/>
      <c r="L278" s="280">
        <f t="shared" si="44"/>
        <v>33611</v>
      </c>
      <c r="M278" s="280">
        <f t="shared" si="44"/>
        <v>33611</v>
      </c>
      <c r="N278" s="280">
        <f t="shared" si="44"/>
        <v>33611</v>
      </c>
      <c r="O278" s="280">
        <f t="shared" si="45"/>
        <v>33611</v>
      </c>
      <c r="P278" s="155">
        <f t="shared" si="49"/>
        <v>32937</v>
      </c>
      <c r="Q278" s="155">
        <f t="shared" si="46"/>
        <v>0</v>
      </c>
    </row>
    <row r="279" spans="1:17">
      <c r="A279" s="64">
        <v>4180</v>
      </c>
      <c r="B279" s="65" t="s">
        <v>269</v>
      </c>
      <c r="C279" s="20">
        <f>VLOOKUP(A279,'Contribution Allocation_Report'!$A$9:$D$310,4,FALSE)</f>
        <v>1.5760000000000001E-4</v>
      </c>
      <c r="D279" s="11"/>
      <c r="E279" s="277">
        <f>VLOOKUP(A279,Contributions_20!$A$9:$D$308,4,FALSE)</f>
        <v>1.3679999999999999E-4</v>
      </c>
      <c r="F279" s="132"/>
      <c r="G279" s="148">
        <f t="shared" si="47"/>
        <v>100738</v>
      </c>
      <c r="H279" s="276">
        <f t="shared" si="43"/>
        <v>16846</v>
      </c>
      <c r="I279" s="129">
        <f t="shared" si="48"/>
        <v>83892</v>
      </c>
      <c r="J279" s="129"/>
      <c r="K279" s="126"/>
      <c r="L279" s="280">
        <f t="shared" si="44"/>
        <v>16846</v>
      </c>
      <c r="M279" s="280">
        <f t="shared" si="44"/>
        <v>16846</v>
      </c>
      <c r="N279" s="280">
        <f t="shared" si="44"/>
        <v>16846</v>
      </c>
      <c r="O279" s="280">
        <f t="shared" si="45"/>
        <v>16846</v>
      </c>
      <c r="P279" s="155">
        <f t="shared" si="49"/>
        <v>16508</v>
      </c>
      <c r="Q279" s="155">
        <f t="shared" si="46"/>
        <v>0</v>
      </c>
    </row>
    <row r="280" spans="1:17">
      <c r="A280" s="62">
        <v>21063</v>
      </c>
      <c r="B280" s="66" t="s">
        <v>270</v>
      </c>
      <c r="C280" s="21">
        <f>VLOOKUP(A280,'Contribution Allocation_Report'!$A$9:$D$310,4,FALSE)</f>
        <v>1.8707999999999999E-3</v>
      </c>
      <c r="D280" s="11"/>
      <c r="E280" s="277">
        <f>VLOOKUP(A280,Contributions_20!$A$9:$D$308,4,FALSE)</f>
        <v>1.838E-3</v>
      </c>
      <c r="F280" s="132"/>
      <c r="G280" s="148">
        <f t="shared" si="47"/>
        <v>158856</v>
      </c>
      <c r="H280" s="276">
        <f t="shared" si="43"/>
        <v>26565</v>
      </c>
      <c r="I280" s="129">
        <f t="shared" si="48"/>
        <v>132291</v>
      </c>
      <c r="J280" s="129"/>
      <c r="K280" s="126"/>
      <c r="L280" s="280">
        <f t="shared" si="44"/>
        <v>26564</v>
      </c>
      <c r="M280" s="280">
        <f t="shared" si="44"/>
        <v>26564</v>
      </c>
      <c r="N280" s="280">
        <f t="shared" si="44"/>
        <v>26564</v>
      </c>
      <c r="O280" s="280">
        <f t="shared" si="45"/>
        <v>26564</v>
      </c>
      <c r="P280" s="155">
        <f t="shared" si="49"/>
        <v>26035</v>
      </c>
      <c r="Q280" s="155">
        <f t="shared" si="46"/>
        <v>0</v>
      </c>
    </row>
    <row r="281" spans="1:17">
      <c r="A281" s="64">
        <v>10033</v>
      </c>
      <c r="B281" s="65" t="s">
        <v>271</v>
      </c>
      <c r="C281" s="20">
        <f>VLOOKUP(A281,'Contribution Allocation_Report'!$A$9:$D$310,4,FALSE)</f>
        <v>1.3255000000000001E-3</v>
      </c>
      <c r="D281" s="11"/>
      <c r="E281" s="277">
        <f>VLOOKUP(A281,Contributions_20!$A$9:$D$308,4,FALSE)</f>
        <v>1.2933E-3</v>
      </c>
      <c r="F281" s="132"/>
      <c r="G281" s="148">
        <f t="shared" si="47"/>
        <v>155950</v>
      </c>
      <c r="H281" s="276">
        <f t="shared" si="43"/>
        <v>26079</v>
      </c>
      <c r="I281" s="129">
        <f t="shared" si="48"/>
        <v>129871</v>
      </c>
      <c r="J281" s="129"/>
      <c r="K281" s="126"/>
      <c r="L281" s="280">
        <f t="shared" si="44"/>
        <v>26079</v>
      </c>
      <c r="M281" s="280">
        <f t="shared" si="44"/>
        <v>26079</v>
      </c>
      <c r="N281" s="280">
        <f t="shared" si="44"/>
        <v>26079</v>
      </c>
      <c r="O281" s="280">
        <f t="shared" si="45"/>
        <v>26079</v>
      </c>
      <c r="P281" s="155">
        <f t="shared" si="49"/>
        <v>25555</v>
      </c>
      <c r="Q281" s="155">
        <f t="shared" si="46"/>
        <v>0</v>
      </c>
    </row>
    <row r="282" spans="1:17">
      <c r="A282" s="62">
        <v>15049</v>
      </c>
      <c r="B282" s="66" t="s">
        <v>272</v>
      </c>
      <c r="C282" s="21">
        <f>VLOOKUP(A282,'Contribution Allocation_Report'!$A$9:$D$310,4,FALSE)</f>
        <v>1.3225999999999999E-3</v>
      </c>
      <c r="D282" s="11"/>
      <c r="E282" s="277">
        <f>VLOOKUP(A282,Contributions_20!$A$9:$D$308,4,FALSE)</f>
        <v>1.3248999999999999E-3</v>
      </c>
      <c r="F282" s="132"/>
      <c r="G282" s="148">
        <f t="shared" si="47"/>
        <v>-11139</v>
      </c>
      <c r="H282" s="276">
        <f t="shared" si="43"/>
        <v>-1863</v>
      </c>
      <c r="I282" s="129">
        <f t="shared" si="48"/>
        <v>-9276</v>
      </c>
      <c r="J282" s="129"/>
      <c r="K282" s="126"/>
      <c r="L282" s="280">
        <f t="shared" si="44"/>
        <v>-1863</v>
      </c>
      <c r="M282" s="280">
        <f t="shared" si="44"/>
        <v>-1863</v>
      </c>
      <c r="N282" s="280">
        <f t="shared" si="44"/>
        <v>-1863</v>
      </c>
      <c r="O282" s="280">
        <f t="shared" si="45"/>
        <v>-1863</v>
      </c>
      <c r="P282" s="155">
        <f t="shared" si="49"/>
        <v>-1824</v>
      </c>
      <c r="Q282" s="155">
        <f t="shared" si="46"/>
        <v>0</v>
      </c>
    </row>
    <row r="283" spans="1:17">
      <c r="A283" s="64">
        <v>1315</v>
      </c>
      <c r="B283" s="65" t="s">
        <v>273</v>
      </c>
      <c r="C283" s="20">
        <f>VLOOKUP(A283,'Contribution Allocation_Report'!$A$9:$D$310,4,FALSE)</f>
        <v>7.6579999999999997E-4</v>
      </c>
      <c r="D283" s="11"/>
      <c r="E283" s="277">
        <f>VLOOKUP(A283,Contributions_20!$A$9:$D$308,4,FALSE)</f>
        <v>7.2190000000000004E-4</v>
      </c>
      <c r="F283" s="132"/>
      <c r="G283" s="148">
        <f t="shared" si="47"/>
        <v>212615</v>
      </c>
      <c r="H283" s="276">
        <f t="shared" si="43"/>
        <v>35554</v>
      </c>
      <c r="I283" s="129">
        <f t="shared" si="48"/>
        <v>177061</v>
      </c>
      <c r="J283" s="129"/>
      <c r="K283" s="126"/>
      <c r="L283" s="280">
        <f t="shared" si="44"/>
        <v>35554</v>
      </c>
      <c r="M283" s="280">
        <f t="shared" si="44"/>
        <v>35554</v>
      </c>
      <c r="N283" s="280">
        <f t="shared" si="44"/>
        <v>35554</v>
      </c>
      <c r="O283" s="280">
        <f t="shared" si="45"/>
        <v>35554</v>
      </c>
      <c r="P283" s="155">
        <f t="shared" si="49"/>
        <v>34845</v>
      </c>
      <c r="Q283" s="155">
        <f t="shared" si="46"/>
        <v>0</v>
      </c>
    </row>
    <row r="284" spans="1:17">
      <c r="A284" s="62">
        <v>3340</v>
      </c>
      <c r="B284" s="66" t="s">
        <v>274</v>
      </c>
      <c r="C284" s="21">
        <f>VLOOKUP(A284,'Contribution Allocation_Report'!$A$9:$D$310,4,FALSE)</f>
        <v>3.4210000000000002E-4</v>
      </c>
      <c r="D284" s="11"/>
      <c r="E284" s="277">
        <f>VLOOKUP(A284,Contributions_20!$A$9:$D$308,4,FALSE)</f>
        <v>3.1849999999999999E-4</v>
      </c>
      <c r="F284" s="132"/>
      <c r="G284" s="148">
        <f t="shared" si="47"/>
        <v>114299</v>
      </c>
      <c r="H284" s="276">
        <f t="shared" si="43"/>
        <v>19114</v>
      </c>
      <c r="I284" s="129">
        <f t="shared" si="48"/>
        <v>95185</v>
      </c>
      <c r="J284" s="129"/>
      <c r="K284" s="126"/>
      <c r="L284" s="280">
        <f t="shared" si="44"/>
        <v>19113</v>
      </c>
      <c r="M284" s="280">
        <f t="shared" si="44"/>
        <v>19113</v>
      </c>
      <c r="N284" s="280">
        <f t="shared" si="44"/>
        <v>19113</v>
      </c>
      <c r="O284" s="280">
        <f t="shared" si="45"/>
        <v>19113</v>
      </c>
      <c r="P284" s="155">
        <f t="shared" si="49"/>
        <v>18733</v>
      </c>
      <c r="Q284" s="155">
        <f t="shared" si="46"/>
        <v>0</v>
      </c>
    </row>
    <row r="285" spans="1:17">
      <c r="A285" s="64">
        <v>3350</v>
      </c>
      <c r="B285" s="65" t="s">
        <v>275</v>
      </c>
      <c r="C285" s="20">
        <f>VLOOKUP(A285,'Contribution Allocation_Report'!$A$9:$D$310,4,FALSE)</f>
        <v>1.7024E-3</v>
      </c>
      <c r="D285" s="11"/>
      <c r="E285" s="277">
        <f>VLOOKUP(A285,Contributions_20!$A$9:$D$308,4,FALSE)</f>
        <v>2.0646000000000002E-3</v>
      </c>
      <c r="F285" s="132"/>
      <c r="G285" s="148">
        <f t="shared" si="47"/>
        <v>-1754196</v>
      </c>
      <c r="H285" s="276">
        <f t="shared" si="43"/>
        <v>-293344</v>
      </c>
      <c r="I285" s="129">
        <f t="shared" si="48"/>
        <v>-1460852</v>
      </c>
      <c r="J285" s="129"/>
      <c r="K285" s="126"/>
      <c r="L285" s="280">
        <f t="shared" si="44"/>
        <v>-293344</v>
      </c>
      <c r="M285" s="280">
        <f t="shared" si="44"/>
        <v>-293344</v>
      </c>
      <c r="N285" s="280">
        <f t="shared" si="44"/>
        <v>-293344</v>
      </c>
      <c r="O285" s="280">
        <f t="shared" si="45"/>
        <v>-293344</v>
      </c>
      <c r="P285" s="155">
        <f t="shared" si="49"/>
        <v>-287476</v>
      </c>
      <c r="Q285" s="155">
        <f t="shared" si="46"/>
        <v>0</v>
      </c>
    </row>
    <row r="286" spans="1:17">
      <c r="A286" s="62">
        <v>24073</v>
      </c>
      <c r="B286" s="66" t="s">
        <v>276</v>
      </c>
      <c r="C286" s="21">
        <f>VLOOKUP(A286,'Contribution Allocation_Report'!$A$9:$D$310,4,FALSE)</f>
        <v>2.3819999999999999E-4</v>
      </c>
      <c r="D286" s="11"/>
      <c r="E286" s="277">
        <f>VLOOKUP(A286,Contributions_20!$A$9:$D$308,4,FALSE)</f>
        <v>2.242E-4</v>
      </c>
      <c r="F286" s="132"/>
      <c r="G286" s="148">
        <f t="shared" si="47"/>
        <v>67804</v>
      </c>
      <c r="H286" s="276">
        <f t="shared" si="43"/>
        <v>11338</v>
      </c>
      <c r="I286" s="129">
        <f t="shared" si="48"/>
        <v>56466</v>
      </c>
      <c r="J286" s="129"/>
      <c r="K286" s="126"/>
      <c r="L286" s="280">
        <f t="shared" si="44"/>
        <v>11339</v>
      </c>
      <c r="M286" s="280">
        <f t="shared" si="44"/>
        <v>11339</v>
      </c>
      <c r="N286" s="280">
        <f t="shared" si="44"/>
        <v>11339</v>
      </c>
      <c r="O286" s="280">
        <f t="shared" si="45"/>
        <v>11339</v>
      </c>
      <c r="P286" s="155">
        <f t="shared" si="49"/>
        <v>11110</v>
      </c>
      <c r="Q286" s="155">
        <f t="shared" si="46"/>
        <v>0</v>
      </c>
    </row>
    <row r="287" spans="1:17">
      <c r="A287" s="127">
        <v>2100</v>
      </c>
      <c r="B287" s="128" t="s">
        <v>277</v>
      </c>
      <c r="C287" s="20">
        <f>VLOOKUP(A287,'Contribution Allocation_Report'!$A$9:$D$310,4,FALSE)</f>
        <v>2.8889999999999997E-4</v>
      </c>
      <c r="D287" s="11"/>
      <c r="E287" s="277">
        <f>VLOOKUP(A287,Contributions_20!$A$9:$D$308,4,FALSE)</f>
        <v>2.968E-4</v>
      </c>
      <c r="F287" s="132"/>
      <c r="G287" s="148">
        <f t="shared" si="47"/>
        <v>-38261</v>
      </c>
      <c r="H287" s="276">
        <f t="shared" si="43"/>
        <v>-6398</v>
      </c>
      <c r="I287" s="129">
        <f t="shared" si="48"/>
        <v>-31863</v>
      </c>
      <c r="J287" s="129"/>
      <c r="K287" s="126"/>
      <c r="L287" s="280">
        <f t="shared" si="44"/>
        <v>-6398</v>
      </c>
      <c r="M287" s="280">
        <f t="shared" si="44"/>
        <v>-6398</v>
      </c>
      <c r="N287" s="280">
        <f t="shared" si="44"/>
        <v>-6398</v>
      </c>
      <c r="O287" s="280">
        <f t="shared" si="45"/>
        <v>-6398</v>
      </c>
      <c r="P287" s="155">
        <f t="shared" si="49"/>
        <v>-6271</v>
      </c>
      <c r="Q287" s="155">
        <f t="shared" si="46"/>
        <v>0</v>
      </c>
    </row>
    <row r="288" spans="1:17">
      <c r="A288" s="62">
        <v>2130</v>
      </c>
      <c r="B288" s="66" t="s">
        <v>278</v>
      </c>
      <c r="C288" s="21">
        <f>VLOOKUP(A288,'Contribution Allocation_Report'!$A$9:$D$310,4,FALSE)</f>
        <v>9.4900000000000003E-5</v>
      </c>
      <c r="D288" s="11"/>
      <c r="E288" s="277">
        <f>VLOOKUP(A288,Contributions_20!$A$9:$D$308,4,FALSE)</f>
        <v>9.1700000000000006E-5</v>
      </c>
      <c r="F288" s="132"/>
      <c r="G288" s="148">
        <f t="shared" si="47"/>
        <v>15498</v>
      </c>
      <c r="H288" s="276">
        <f t="shared" si="43"/>
        <v>2592</v>
      </c>
      <c r="I288" s="129">
        <f t="shared" si="48"/>
        <v>12906</v>
      </c>
      <c r="J288" s="129"/>
      <c r="K288" s="126"/>
      <c r="L288" s="280">
        <f t="shared" si="44"/>
        <v>2592</v>
      </c>
      <c r="M288" s="280">
        <f t="shared" si="44"/>
        <v>2592</v>
      </c>
      <c r="N288" s="280">
        <f t="shared" si="44"/>
        <v>2592</v>
      </c>
      <c r="O288" s="280">
        <f t="shared" si="45"/>
        <v>2592</v>
      </c>
      <c r="P288" s="155">
        <f t="shared" si="49"/>
        <v>2538</v>
      </c>
      <c r="Q288" s="155">
        <f t="shared" si="46"/>
        <v>0</v>
      </c>
    </row>
    <row r="289" spans="1:17">
      <c r="A289" s="64">
        <v>32099</v>
      </c>
      <c r="B289" s="65" t="s">
        <v>279</v>
      </c>
      <c r="C289" s="20">
        <f>VLOOKUP(A289,'Contribution Allocation_Report'!$A$9:$D$310,4,FALSE)</f>
        <v>9.5199999999999997E-5</v>
      </c>
      <c r="D289" s="11"/>
      <c r="E289" s="277">
        <f>VLOOKUP(A289,Contributions_20!$A$9:$D$308,4,FALSE)</f>
        <v>9.2800000000000006E-5</v>
      </c>
      <c r="F289" s="132"/>
      <c r="G289" s="148">
        <f t="shared" si="47"/>
        <v>11624</v>
      </c>
      <c r="H289" s="276">
        <f t="shared" si="43"/>
        <v>1944</v>
      </c>
      <c r="I289" s="129">
        <f t="shared" si="48"/>
        <v>9680</v>
      </c>
      <c r="J289" s="129"/>
      <c r="K289" s="126"/>
      <c r="L289" s="280">
        <f t="shared" si="44"/>
        <v>1944</v>
      </c>
      <c r="M289" s="280">
        <f t="shared" si="44"/>
        <v>1944</v>
      </c>
      <c r="N289" s="280">
        <f t="shared" si="44"/>
        <v>1944</v>
      </c>
      <c r="O289" s="280">
        <f t="shared" si="45"/>
        <v>1944</v>
      </c>
      <c r="P289" s="155">
        <f t="shared" si="49"/>
        <v>1904</v>
      </c>
      <c r="Q289" s="155">
        <f t="shared" si="46"/>
        <v>0</v>
      </c>
    </row>
    <row r="290" spans="1:17">
      <c r="A290" s="62">
        <v>32100</v>
      </c>
      <c r="B290" s="66" t="s">
        <v>280</v>
      </c>
      <c r="C290" s="21">
        <f>VLOOKUP(A290,'Contribution Allocation_Report'!$A$9:$D$310,4,FALSE)</f>
        <v>2.1100000000000001E-4</v>
      </c>
      <c r="D290" s="11"/>
      <c r="E290" s="277">
        <f>VLOOKUP(A290,Contributions_20!$A$9:$D$308,4,FALSE)</f>
        <v>1.975E-4</v>
      </c>
      <c r="F290" s="132"/>
      <c r="G290" s="148">
        <f t="shared" si="47"/>
        <v>65383</v>
      </c>
      <c r="H290" s="276">
        <f t="shared" si="43"/>
        <v>10934</v>
      </c>
      <c r="I290" s="129">
        <f t="shared" si="48"/>
        <v>54449</v>
      </c>
      <c r="J290" s="129"/>
      <c r="K290" s="126"/>
      <c r="L290" s="280">
        <f t="shared" si="44"/>
        <v>10934</v>
      </c>
      <c r="M290" s="280">
        <f t="shared" si="44"/>
        <v>10934</v>
      </c>
      <c r="N290" s="280">
        <f t="shared" si="44"/>
        <v>10934</v>
      </c>
      <c r="O290" s="280">
        <f t="shared" si="45"/>
        <v>10934</v>
      </c>
      <c r="P290" s="155">
        <f t="shared" si="49"/>
        <v>10713</v>
      </c>
      <c r="Q290" s="155">
        <f t="shared" si="46"/>
        <v>0</v>
      </c>
    </row>
    <row r="291" spans="1:17">
      <c r="A291" s="64">
        <v>32101</v>
      </c>
      <c r="B291" s="65" t="s">
        <v>281</v>
      </c>
      <c r="C291" s="20">
        <f>VLOOKUP(A291,'Contribution Allocation_Report'!$A$9:$D$310,4,FALSE)</f>
        <v>1.04E-5</v>
      </c>
      <c r="D291" s="11"/>
      <c r="E291" s="277">
        <f>VLOOKUP(A291,Contributions_20!$A$9:$D$308,4,FALSE)</f>
        <v>6.6400000000000001E-5</v>
      </c>
      <c r="F291" s="132"/>
      <c r="G291" s="148">
        <f t="shared" si="47"/>
        <v>-271217</v>
      </c>
      <c r="H291" s="276">
        <f t="shared" si="43"/>
        <v>-45354</v>
      </c>
      <c r="I291" s="129">
        <f t="shared" si="48"/>
        <v>-225863</v>
      </c>
      <c r="J291" s="129"/>
      <c r="K291" s="126"/>
      <c r="L291" s="280">
        <f t="shared" si="44"/>
        <v>-45354</v>
      </c>
      <c r="M291" s="280">
        <f t="shared" si="44"/>
        <v>-45354</v>
      </c>
      <c r="N291" s="280">
        <f t="shared" si="44"/>
        <v>-45354</v>
      </c>
      <c r="O291" s="280">
        <f t="shared" si="45"/>
        <v>-45354</v>
      </c>
      <c r="P291" s="155">
        <f t="shared" si="49"/>
        <v>-44447</v>
      </c>
      <c r="Q291" s="155">
        <f t="shared" si="46"/>
        <v>0</v>
      </c>
    </row>
    <row r="292" spans="1:17">
      <c r="A292" s="62">
        <v>32102</v>
      </c>
      <c r="B292" s="66" t="s">
        <v>282</v>
      </c>
      <c r="C292" s="21">
        <f>VLOOKUP(A292,'Contribution Allocation_Report'!$A$9:$D$310,4,FALSE)</f>
        <v>1.2559999999999999E-4</v>
      </c>
      <c r="D292" s="11"/>
      <c r="E292" s="277">
        <f>VLOOKUP(A292,Contributions_20!$A$9:$D$308,4,FALSE)</f>
        <v>1.208E-4</v>
      </c>
      <c r="F292" s="132"/>
      <c r="G292" s="148">
        <f t="shared" si="47"/>
        <v>23247</v>
      </c>
      <c r="H292" s="276">
        <f t="shared" si="43"/>
        <v>3887</v>
      </c>
      <c r="I292" s="129">
        <f t="shared" si="48"/>
        <v>19360</v>
      </c>
      <c r="J292" s="129"/>
      <c r="K292" s="126"/>
      <c r="L292" s="280">
        <f t="shared" si="44"/>
        <v>3888</v>
      </c>
      <c r="M292" s="280">
        <f t="shared" si="44"/>
        <v>3888</v>
      </c>
      <c r="N292" s="280">
        <f t="shared" si="44"/>
        <v>3888</v>
      </c>
      <c r="O292" s="280">
        <f t="shared" si="45"/>
        <v>3888</v>
      </c>
      <c r="P292" s="155">
        <f t="shared" si="49"/>
        <v>3808</v>
      </c>
      <c r="Q292" s="155">
        <f t="shared" si="46"/>
        <v>0</v>
      </c>
    </row>
    <row r="293" spans="1:17">
      <c r="A293" s="64">
        <v>2880</v>
      </c>
      <c r="B293" s="65" t="s">
        <v>283</v>
      </c>
      <c r="C293" s="20">
        <f>VLOOKUP(A293,'Contribution Allocation_Report'!$A$9:$D$310,4,FALSE)</f>
        <v>4.2500000000000003E-5</v>
      </c>
      <c r="D293" s="11"/>
      <c r="E293" s="277">
        <f>VLOOKUP(A293,Contributions_20!$A$9:$D$308,4,FALSE)</f>
        <v>3.5800000000000003E-5</v>
      </c>
      <c r="F293" s="132"/>
      <c r="G293" s="148">
        <f t="shared" si="47"/>
        <v>32449</v>
      </c>
      <c r="H293" s="276">
        <f t="shared" si="43"/>
        <v>5426</v>
      </c>
      <c r="I293" s="129">
        <f t="shared" si="48"/>
        <v>27023</v>
      </c>
      <c r="J293" s="129"/>
      <c r="K293" s="126"/>
      <c r="L293" s="280">
        <f t="shared" si="44"/>
        <v>5426</v>
      </c>
      <c r="M293" s="280">
        <f t="shared" si="44"/>
        <v>5426</v>
      </c>
      <c r="N293" s="280">
        <f t="shared" si="44"/>
        <v>5426</v>
      </c>
      <c r="O293" s="280">
        <f t="shared" si="45"/>
        <v>5426</v>
      </c>
      <c r="P293" s="155">
        <f t="shared" si="49"/>
        <v>5319</v>
      </c>
      <c r="Q293" s="155">
        <f t="shared" si="46"/>
        <v>0</v>
      </c>
    </row>
    <row r="294" spans="1:17">
      <c r="A294" s="62">
        <v>2490</v>
      </c>
      <c r="B294" s="66" t="s">
        <v>284</v>
      </c>
      <c r="C294" s="21">
        <f>VLOOKUP(A294,'Contribution Allocation_Report'!$A$9:$D$310,4,FALSE)</f>
        <v>2.8259999999999998E-4</v>
      </c>
      <c r="D294" s="11"/>
      <c r="E294" s="277">
        <f>VLOOKUP(A294,Contributions_20!$A$9:$D$308,4,FALSE)</f>
        <v>2.7920000000000001E-4</v>
      </c>
      <c r="F294" s="132"/>
      <c r="G294" s="148">
        <f t="shared" si="47"/>
        <v>16467</v>
      </c>
      <c r="H294" s="276">
        <f t="shared" si="43"/>
        <v>2754</v>
      </c>
      <c r="I294" s="129">
        <f t="shared" si="48"/>
        <v>13713</v>
      </c>
      <c r="J294" s="129"/>
      <c r="K294" s="126"/>
      <c r="L294" s="280">
        <f t="shared" si="44"/>
        <v>2754</v>
      </c>
      <c r="M294" s="280">
        <f t="shared" si="44"/>
        <v>2754</v>
      </c>
      <c r="N294" s="280">
        <f t="shared" si="44"/>
        <v>2754</v>
      </c>
      <c r="O294" s="280">
        <f t="shared" si="45"/>
        <v>2754</v>
      </c>
      <c r="P294" s="155">
        <f t="shared" si="49"/>
        <v>2697</v>
      </c>
      <c r="Q294" s="155">
        <f t="shared" si="46"/>
        <v>0</v>
      </c>
    </row>
    <row r="295" spans="1:17">
      <c r="A295" s="64">
        <v>2530</v>
      </c>
      <c r="B295" s="65" t="s">
        <v>285</v>
      </c>
      <c r="C295" s="20">
        <f>VLOOKUP(A295,'Contribution Allocation_Report'!$A$9:$D$310,4,FALSE)</f>
        <v>3.0499999999999999E-5</v>
      </c>
      <c r="D295" s="11"/>
      <c r="E295" s="277">
        <f>VLOOKUP(A295,Contributions_20!$A$9:$D$308,4,FALSE)</f>
        <v>7.1400000000000001E-5</v>
      </c>
      <c r="F295" s="132"/>
      <c r="G295" s="148">
        <f t="shared" si="47"/>
        <v>-198086</v>
      </c>
      <c r="H295" s="276">
        <f t="shared" si="43"/>
        <v>-33125</v>
      </c>
      <c r="I295" s="129">
        <f t="shared" si="48"/>
        <v>-164961</v>
      </c>
      <c r="J295" s="129"/>
      <c r="K295" s="126"/>
      <c r="L295" s="280">
        <f t="shared" si="44"/>
        <v>-33125</v>
      </c>
      <c r="M295" s="280">
        <f t="shared" si="44"/>
        <v>-33125</v>
      </c>
      <c r="N295" s="280">
        <f t="shared" si="44"/>
        <v>-33125</v>
      </c>
      <c r="O295" s="280">
        <f t="shared" si="45"/>
        <v>-33125</v>
      </c>
      <c r="P295" s="155">
        <f t="shared" si="49"/>
        <v>-32461</v>
      </c>
      <c r="Q295" s="155">
        <f t="shared" si="46"/>
        <v>0</v>
      </c>
    </row>
    <row r="296" spans="1:17">
      <c r="A296" s="62">
        <v>2560</v>
      </c>
      <c r="B296" s="66" t="s">
        <v>286</v>
      </c>
      <c r="C296" s="21">
        <f>VLOOKUP(A296,'Contribution Allocation_Report'!$A$9:$D$310,4,FALSE)</f>
        <v>9.0500000000000004E-5</v>
      </c>
      <c r="D296" s="11"/>
      <c r="E296" s="277">
        <f>VLOOKUP(A296,Contributions_20!$A$9:$D$308,4,FALSE)</f>
        <v>1.126E-4</v>
      </c>
      <c r="F296" s="132"/>
      <c r="G296" s="148">
        <f t="shared" si="47"/>
        <v>-107034</v>
      </c>
      <c r="H296" s="276">
        <f t="shared" si="43"/>
        <v>-17899</v>
      </c>
      <c r="I296" s="129">
        <f t="shared" si="48"/>
        <v>-89135</v>
      </c>
      <c r="J296" s="129"/>
      <c r="K296" s="126"/>
      <c r="L296" s="280">
        <f t="shared" si="44"/>
        <v>-17899</v>
      </c>
      <c r="M296" s="280">
        <f t="shared" si="44"/>
        <v>-17899</v>
      </c>
      <c r="N296" s="280">
        <f t="shared" si="44"/>
        <v>-17899</v>
      </c>
      <c r="O296" s="280">
        <f t="shared" si="45"/>
        <v>-17899</v>
      </c>
      <c r="P296" s="155">
        <f t="shared" si="49"/>
        <v>-17539</v>
      </c>
      <c r="Q296" s="155">
        <f t="shared" si="46"/>
        <v>0</v>
      </c>
    </row>
    <row r="297" spans="1:17">
      <c r="A297" s="64">
        <v>2610</v>
      </c>
      <c r="B297" s="65" t="s">
        <v>287</v>
      </c>
      <c r="C297" s="20">
        <f>VLOOKUP(A297,'Contribution Allocation_Report'!$A$9:$D$310,4,FALSE)</f>
        <v>3.4700000000000003E-5</v>
      </c>
      <c r="D297" s="11"/>
      <c r="E297" s="277">
        <f>VLOOKUP(A297,Contributions_20!$A$9:$D$308,4,FALSE)</f>
        <v>3.3699999999999999E-5</v>
      </c>
      <c r="F297" s="132"/>
      <c r="G297" s="148">
        <f t="shared" si="47"/>
        <v>4843</v>
      </c>
      <c r="H297" s="276">
        <f t="shared" si="43"/>
        <v>810</v>
      </c>
      <c r="I297" s="129">
        <f t="shared" si="48"/>
        <v>4033</v>
      </c>
      <c r="J297" s="129"/>
      <c r="K297" s="126"/>
      <c r="L297" s="280">
        <f t="shared" si="44"/>
        <v>810</v>
      </c>
      <c r="M297" s="280">
        <f t="shared" si="44"/>
        <v>810</v>
      </c>
      <c r="N297" s="280">
        <f t="shared" si="44"/>
        <v>810</v>
      </c>
      <c r="O297" s="280">
        <f t="shared" si="45"/>
        <v>810</v>
      </c>
      <c r="P297" s="155">
        <f t="shared" si="49"/>
        <v>793</v>
      </c>
      <c r="Q297" s="155">
        <f t="shared" si="46"/>
        <v>0</v>
      </c>
    </row>
    <row r="298" spans="1:17">
      <c r="A298" s="62">
        <v>2800</v>
      </c>
      <c r="B298" s="66" t="s">
        <v>288</v>
      </c>
      <c r="C298" s="21">
        <f>VLOOKUP(A298,'Contribution Allocation_Report'!$A$9:$D$310,4,FALSE)</f>
        <v>8.7800000000000006E-5</v>
      </c>
      <c r="D298" s="11"/>
      <c r="E298" s="277">
        <f>VLOOKUP(A298,Contributions_20!$A$9:$D$308,4,FALSE)</f>
        <v>8.3800000000000004E-5</v>
      </c>
      <c r="F298" s="132"/>
      <c r="G298" s="148">
        <f t="shared" si="47"/>
        <v>19373</v>
      </c>
      <c r="H298" s="276">
        <f t="shared" si="43"/>
        <v>3240</v>
      </c>
      <c r="I298" s="129">
        <f t="shared" si="48"/>
        <v>16133</v>
      </c>
      <c r="J298" s="129"/>
      <c r="K298" s="126"/>
      <c r="L298" s="280">
        <f t="shared" si="44"/>
        <v>3240</v>
      </c>
      <c r="M298" s="280">
        <f t="shared" si="44"/>
        <v>3240</v>
      </c>
      <c r="N298" s="280">
        <f t="shared" si="44"/>
        <v>3240</v>
      </c>
      <c r="O298" s="280">
        <f t="shared" si="45"/>
        <v>3240</v>
      </c>
      <c r="P298" s="155">
        <f t="shared" si="49"/>
        <v>3173</v>
      </c>
      <c r="Q298" s="155">
        <f t="shared" si="46"/>
        <v>0</v>
      </c>
    </row>
    <row r="299" spans="1:17">
      <c r="A299" s="64">
        <v>20317</v>
      </c>
      <c r="B299" s="65" t="s">
        <v>289</v>
      </c>
      <c r="C299" s="20">
        <f>VLOOKUP(A299,'Contribution Allocation_Report'!$A$9:$D$310,4,FALSE)</f>
        <v>1.4559999999999999E-4</v>
      </c>
      <c r="D299" s="11"/>
      <c r="E299" s="277">
        <f>VLOOKUP(A299,Contributions_20!$A$9:$D$308,4,FALSE)</f>
        <v>1.827E-4</v>
      </c>
      <c r="F299" s="132"/>
      <c r="G299" s="148">
        <f t="shared" si="47"/>
        <v>-179682</v>
      </c>
      <c r="H299" s="276">
        <f t="shared" si="43"/>
        <v>-30047</v>
      </c>
      <c r="I299" s="129">
        <f t="shared" si="48"/>
        <v>-149635</v>
      </c>
      <c r="J299" s="129"/>
      <c r="K299" s="126"/>
      <c r="L299" s="280">
        <f t="shared" si="44"/>
        <v>-30047</v>
      </c>
      <c r="M299" s="280">
        <f t="shared" si="44"/>
        <v>-30047</v>
      </c>
      <c r="N299" s="280">
        <f t="shared" si="44"/>
        <v>-30047</v>
      </c>
      <c r="O299" s="280">
        <f t="shared" si="45"/>
        <v>-30047</v>
      </c>
      <c r="P299" s="155">
        <f t="shared" si="49"/>
        <v>-29447</v>
      </c>
      <c r="Q299" s="155">
        <f t="shared" si="46"/>
        <v>0</v>
      </c>
    </row>
    <row r="300" spans="1:17">
      <c r="A300" s="62">
        <v>30090</v>
      </c>
      <c r="B300" s="66" t="s">
        <v>290</v>
      </c>
      <c r="C300" s="21">
        <f>VLOOKUP(A300,'Contribution Allocation_Report'!$A$9:$D$310,4,FALSE)</f>
        <v>3.212E-4</v>
      </c>
      <c r="D300" s="11"/>
      <c r="E300" s="277">
        <f>VLOOKUP(A300,Contributions_20!$A$9:$D$308,4,FALSE)</f>
        <v>2.8279999999999999E-4</v>
      </c>
      <c r="F300" s="132"/>
      <c r="G300" s="148">
        <f t="shared" si="47"/>
        <v>185978</v>
      </c>
      <c r="H300" s="276">
        <f t="shared" si="43"/>
        <v>31100</v>
      </c>
      <c r="I300" s="129">
        <f t="shared" si="48"/>
        <v>154878</v>
      </c>
      <c r="J300" s="129"/>
      <c r="K300" s="126"/>
      <c r="L300" s="280">
        <f t="shared" si="44"/>
        <v>31100</v>
      </c>
      <c r="M300" s="280">
        <f t="shared" si="44"/>
        <v>31100</v>
      </c>
      <c r="N300" s="280">
        <f t="shared" si="44"/>
        <v>31100</v>
      </c>
      <c r="O300" s="280">
        <f t="shared" si="45"/>
        <v>31100</v>
      </c>
      <c r="P300" s="155">
        <f t="shared" si="49"/>
        <v>30478</v>
      </c>
      <c r="Q300" s="155">
        <f t="shared" si="46"/>
        <v>0</v>
      </c>
    </row>
    <row r="301" spans="1:17">
      <c r="A301" s="64">
        <v>29330</v>
      </c>
      <c r="B301" s="65" t="s">
        <v>291</v>
      </c>
      <c r="C301" s="20">
        <f>VLOOKUP(A301,'Contribution Allocation_Report'!$A$9:$D$310,4,FALSE)</f>
        <v>1.142E-4</v>
      </c>
      <c r="D301" s="11"/>
      <c r="E301" s="277">
        <f>VLOOKUP(A301,Contributions_20!$A$9:$D$308,4,FALSE)</f>
        <v>1.2630000000000001E-4</v>
      </c>
      <c r="F301" s="132"/>
      <c r="G301" s="148">
        <f t="shared" si="47"/>
        <v>-58602</v>
      </c>
      <c r="H301" s="276">
        <f t="shared" si="43"/>
        <v>-9800</v>
      </c>
      <c r="I301" s="129">
        <f t="shared" si="48"/>
        <v>-48802</v>
      </c>
      <c r="J301" s="129"/>
      <c r="K301" s="126"/>
      <c r="L301" s="280">
        <f t="shared" si="44"/>
        <v>-9800</v>
      </c>
      <c r="M301" s="280">
        <f t="shared" si="44"/>
        <v>-9800</v>
      </c>
      <c r="N301" s="280">
        <f t="shared" si="44"/>
        <v>-9800</v>
      </c>
      <c r="O301" s="280">
        <f t="shared" si="45"/>
        <v>-9800</v>
      </c>
      <c r="P301" s="155">
        <f t="shared" si="49"/>
        <v>-9602</v>
      </c>
      <c r="Q301" s="155">
        <f t="shared" si="46"/>
        <v>0</v>
      </c>
    </row>
    <row r="302" spans="1:17">
      <c r="A302" s="62">
        <v>12038</v>
      </c>
      <c r="B302" s="66" t="s">
        <v>292</v>
      </c>
      <c r="C302" s="21">
        <f>VLOOKUP(A302,'Contribution Allocation_Report'!$A$9:$D$310,4,FALSE)</f>
        <v>2.4910000000000002E-3</v>
      </c>
      <c r="D302" s="11"/>
      <c r="E302" s="277">
        <f>VLOOKUP(A302,Contributions_20!$A$9:$D$308,4,FALSE)</f>
        <v>2.3303E-3</v>
      </c>
      <c r="F302" s="132"/>
      <c r="G302" s="148">
        <f t="shared" si="47"/>
        <v>778297</v>
      </c>
      <c r="H302" s="276">
        <f t="shared" si="43"/>
        <v>130150</v>
      </c>
      <c r="I302" s="129">
        <f t="shared" si="48"/>
        <v>648147</v>
      </c>
      <c r="J302" s="129"/>
      <c r="K302" s="126"/>
      <c r="L302" s="280">
        <f t="shared" si="44"/>
        <v>130150</v>
      </c>
      <c r="M302" s="280">
        <f t="shared" si="44"/>
        <v>130150</v>
      </c>
      <c r="N302" s="280">
        <f t="shared" si="44"/>
        <v>130150</v>
      </c>
      <c r="O302" s="280">
        <f t="shared" si="45"/>
        <v>130150</v>
      </c>
      <c r="P302" s="155">
        <f t="shared" si="49"/>
        <v>127547</v>
      </c>
      <c r="Q302" s="155">
        <f t="shared" si="46"/>
        <v>0</v>
      </c>
    </row>
    <row r="303" spans="1:17">
      <c r="A303" s="64">
        <v>8099</v>
      </c>
      <c r="B303" s="65" t="s">
        <v>293</v>
      </c>
      <c r="C303" s="20">
        <f>VLOOKUP(A303,'Contribution Allocation_Report'!$A$9:$D$310,4,FALSE)</f>
        <v>3.9122000000000002E-3</v>
      </c>
      <c r="D303" s="11"/>
      <c r="E303" s="144">
        <f>VLOOKUP(A303,Contributions_20!$A$9:$D$308,4,FALSE)</f>
        <v>3.8536E-3</v>
      </c>
      <c r="F303" s="132"/>
      <c r="G303" s="148">
        <f t="shared" si="47"/>
        <v>283810</v>
      </c>
      <c r="H303" s="276">
        <f t="shared" si="43"/>
        <v>47460</v>
      </c>
      <c r="I303" s="129">
        <f t="shared" si="48"/>
        <v>236350</v>
      </c>
      <c r="J303" s="129"/>
      <c r="K303" s="126"/>
      <c r="L303" s="280">
        <f t="shared" si="44"/>
        <v>47460</v>
      </c>
      <c r="M303" s="280">
        <f t="shared" si="44"/>
        <v>47460</v>
      </c>
      <c r="N303" s="280">
        <f t="shared" si="44"/>
        <v>47460</v>
      </c>
      <c r="O303" s="280">
        <f t="shared" si="45"/>
        <v>47460</v>
      </c>
      <c r="P303" s="155">
        <f t="shared" si="49"/>
        <v>46510</v>
      </c>
      <c r="Q303" s="155">
        <f t="shared" si="46"/>
        <v>0</v>
      </c>
    </row>
    <row r="304" spans="1:17" s="216" customFormat="1">
      <c r="A304" s="254">
        <v>2442</v>
      </c>
      <c r="B304" s="255" t="s">
        <v>451</v>
      </c>
      <c r="C304" s="225">
        <f>VLOOKUP(A304,'Contribution Allocation_Report'!$A$9:$D$310,4,FALSE)</f>
        <v>1.6699999999999999E-5</v>
      </c>
      <c r="D304" s="11"/>
      <c r="E304" s="277">
        <v>0</v>
      </c>
      <c r="F304" s="132"/>
      <c r="G304" s="278">
        <f t="shared" ref="G304" si="50">ROUND((E304-C304)*$G$322,0)</f>
        <v>80881</v>
      </c>
      <c r="H304" s="276">
        <f t="shared" ref="H304" si="51">ROUND(G304/5.98,0)</f>
        <v>13525</v>
      </c>
      <c r="I304" s="276">
        <f t="shared" ref="I304" si="52">G304-H304</f>
        <v>67356</v>
      </c>
      <c r="J304" s="276"/>
      <c r="K304" s="126"/>
      <c r="L304" s="280">
        <f t="shared" si="44"/>
        <v>13525</v>
      </c>
      <c r="M304" s="280">
        <f t="shared" si="44"/>
        <v>13525</v>
      </c>
      <c r="N304" s="280">
        <f t="shared" si="44"/>
        <v>13525</v>
      </c>
      <c r="O304" s="280">
        <f t="shared" si="45"/>
        <v>13525</v>
      </c>
      <c r="P304" s="281">
        <f t="shared" ref="P304" si="53">I304-SUM(L304:O304)</f>
        <v>13256</v>
      </c>
      <c r="Q304" s="281">
        <f t="shared" ref="Q304" si="54">+I304-SUM(L304:P304)</f>
        <v>0</v>
      </c>
    </row>
    <row r="305" spans="1:17">
      <c r="A305" s="62">
        <v>2417</v>
      </c>
      <c r="B305" s="66" t="s">
        <v>294</v>
      </c>
      <c r="C305" s="21">
        <f>VLOOKUP(A305,'Contribution Allocation_Report'!$A$9:$D$310,4,FALSE)</f>
        <v>8.3900000000000006E-5</v>
      </c>
      <c r="D305" s="11"/>
      <c r="E305" s="277">
        <f>VLOOKUP(A305,Contributions_20!$A$9:$D$308,4,FALSE)</f>
        <v>7.7100000000000004E-5</v>
      </c>
      <c r="F305" s="132"/>
      <c r="G305" s="148">
        <f t="shared" si="47"/>
        <v>32934</v>
      </c>
      <c r="H305" s="276">
        <f t="shared" si="43"/>
        <v>5507</v>
      </c>
      <c r="I305" s="129">
        <f t="shared" si="48"/>
        <v>27427</v>
      </c>
      <c r="J305" s="129"/>
      <c r="K305" s="126"/>
      <c r="L305" s="280">
        <f t="shared" si="44"/>
        <v>5507</v>
      </c>
      <c r="M305" s="280">
        <f t="shared" si="44"/>
        <v>5507</v>
      </c>
      <c r="N305" s="280">
        <f t="shared" si="44"/>
        <v>5507</v>
      </c>
      <c r="O305" s="280">
        <f t="shared" si="45"/>
        <v>5507</v>
      </c>
      <c r="P305" s="155">
        <f t="shared" si="49"/>
        <v>5399</v>
      </c>
      <c r="Q305" s="155">
        <f t="shared" si="46"/>
        <v>0</v>
      </c>
    </row>
    <row r="306" spans="1:17">
      <c r="A306" s="64">
        <v>13142</v>
      </c>
      <c r="B306" s="65" t="s">
        <v>295</v>
      </c>
      <c r="C306" s="20">
        <f>VLOOKUP(A306,'Contribution Allocation_Report'!$A$9:$D$310,4,FALSE)</f>
        <v>2.3280000000000002E-3</v>
      </c>
      <c r="D306" s="11"/>
      <c r="E306" s="277">
        <f>VLOOKUP(A306,Contributions_20!$A$9:$D$308,4,FALSE)</f>
        <v>2.3933000000000001E-3</v>
      </c>
      <c r="F306" s="132"/>
      <c r="G306" s="148">
        <f t="shared" si="47"/>
        <v>-316259</v>
      </c>
      <c r="H306" s="276">
        <f t="shared" si="43"/>
        <v>-52886</v>
      </c>
      <c r="I306" s="129">
        <f t="shared" si="48"/>
        <v>-263373</v>
      </c>
      <c r="J306" s="129"/>
      <c r="K306" s="126"/>
      <c r="L306" s="280">
        <f t="shared" si="44"/>
        <v>-52886</v>
      </c>
      <c r="M306" s="280">
        <f t="shared" si="44"/>
        <v>-52886</v>
      </c>
      <c r="N306" s="280">
        <f t="shared" si="44"/>
        <v>-52886</v>
      </c>
      <c r="O306" s="280">
        <f t="shared" si="45"/>
        <v>-52886</v>
      </c>
      <c r="P306" s="155">
        <f t="shared" si="49"/>
        <v>-51829</v>
      </c>
      <c r="Q306" s="155">
        <f t="shared" si="46"/>
        <v>0</v>
      </c>
    </row>
    <row r="307" spans="1:17" s="216" customFormat="1">
      <c r="A307" s="64">
        <v>17334</v>
      </c>
      <c r="B307" s="65" t="s">
        <v>135</v>
      </c>
      <c r="C307" s="20">
        <v>0</v>
      </c>
      <c r="D307" s="11"/>
      <c r="E307" s="277">
        <f>VLOOKUP(A307,Contributions_20!$A$9:$D$308,4,FALSE)</f>
        <v>2.0800000000000001E-5</v>
      </c>
      <c r="F307" s="132"/>
      <c r="G307" s="148">
        <f>ROUND((E307-C307)*$G$322,0)</f>
        <v>-100738</v>
      </c>
      <c r="H307" s="276">
        <f>ROUND(G307/5.98,0)</f>
        <v>-16846</v>
      </c>
      <c r="I307" s="129">
        <f>G307-H307</f>
        <v>-83892</v>
      </c>
      <c r="J307" s="129"/>
      <c r="K307" s="126"/>
      <c r="L307" s="280">
        <f>ROUND($I307/4.98,0)</f>
        <v>-16846</v>
      </c>
      <c r="M307" s="280">
        <f>ROUND($I307/4.98,0)</f>
        <v>-16846</v>
      </c>
      <c r="N307" s="280">
        <f>ROUND($I307/4.98,0)</f>
        <v>-16846</v>
      </c>
      <c r="O307" s="280">
        <f>ROUND($I307/4.98,0)</f>
        <v>-16846</v>
      </c>
      <c r="P307" s="155">
        <f>I307-SUM(L307:O307)</f>
        <v>-16508</v>
      </c>
      <c r="Q307" s="155">
        <f>+I307-SUM(L307:P307)</f>
        <v>0</v>
      </c>
    </row>
    <row r="308" spans="1:17" s="142" customFormat="1">
      <c r="A308" s="62">
        <v>2403</v>
      </c>
      <c r="B308" s="66" t="s">
        <v>415</v>
      </c>
      <c r="C308" s="21">
        <v>0</v>
      </c>
      <c r="D308" s="11"/>
      <c r="E308" s="144">
        <v>0</v>
      </c>
      <c r="F308" s="132"/>
      <c r="G308" s="148">
        <v>0</v>
      </c>
      <c r="H308" s="278">
        <v>0</v>
      </c>
      <c r="I308" s="278">
        <v>0</v>
      </c>
      <c r="J308" s="129"/>
      <c r="K308" s="126"/>
      <c r="L308" s="154">
        <f>ROUND($I308/4.64,0)</f>
        <v>0</v>
      </c>
      <c r="M308" s="154">
        <f>ROUND($I308/4.64,0)</f>
        <v>0</v>
      </c>
      <c r="N308" s="154">
        <f>ROUND($I308/4.64,0)</f>
        <v>0</v>
      </c>
      <c r="O308" s="154">
        <f>ROUND($I308/4.64,0)</f>
        <v>0</v>
      </c>
      <c r="P308" s="155">
        <f t="shared" ref="P308:P316" si="55">I308-SUM(L308:O308)</f>
        <v>0</v>
      </c>
      <c r="Q308" s="155">
        <f t="shared" ref="Q308:Q316" si="56">+I308-SUM(L308:P308)</f>
        <v>0</v>
      </c>
    </row>
    <row r="309" spans="1:17" s="142" customFormat="1">
      <c r="A309" s="64">
        <v>16358</v>
      </c>
      <c r="B309" s="65" t="s">
        <v>416</v>
      </c>
      <c r="C309" s="20">
        <v>0</v>
      </c>
      <c r="D309" s="11"/>
      <c r="E309" s="144">
        <v>0</v>
      </c>
      <c r="F309" s="132"/>
      <c r="G309" s="278">
        <v>0</v>
      </c>
      <c r="H309" s="278">
        <v>0</v>
      </c>
      <c r="I309" s="278">
        <v>0</v>
      </c>
      <c r="J309" s="129"/>
      <c r="K309" s="126"/>
      <c r="L309" s="154">
        <f t="shared" ref="L309:O316" si="57">ROUND($I309/4.64,0)</f>
        <v>0</v>
      </c>
      <c r="M309" s="154">
        <f t="shared" si="57"/>
        <v>0</v>
      </c>
      <c r="N309" s="154">
        <f t="shared" si="57"/>
        <v>0</v>
      </c>
      <c r="O309" s="154">
        <f t="shared" si="57"/>
        <v>0</v>
      </c>
      <c r="P309" s="155">
        <f t="shared" si="55"/>
        <v>0</v>
      </c>
      <c r="Q309" s="155">
        <f t="shared" si="56"/>
        <v>0</v>
      </c>
    </row>
    <row r="310" spans="1:17" s="142" customFormat="1">
      <c r="A310" s="62">
        <v>2357</v>
      </c>
      <c r="B310" s="66" t="s">
        <v>417</v>
      </c>
      <c r="C310" s="21">
        <v>0</v>
      </c>
      <c r="D310" s="11"/>
      <c r="E310" s="144">
        <v>0</v>
      </c>
      <c r="F310" s="132"/>
      <c r="G310" s="278">
        <v>0</v>
      </c>
      <c r="H310" s="278">
        <v>0</v>
      </c>
      <c r="I310" s="278">
        <v>0</v>
      </c>
      <c r="J310" s="129"/>
      <c r="K310" s="126"/>
      <c r="L310" s="154">
        <f t="shared" si="57"/>
        <v>0</v>
      </c>
      <c r="M310" s="154">
        <f t="shared" si="57"/>
        <v>0</v>
      </c>
      <c r="N310" s="154">
        <f t="shared" si="57"/>
        <v>0</v>
      </c>
      <c r="O310" s="154">
        <f t="shared" si="57"/>
        <v>0</v>
      </c>
      <c r="P310" s="155">
        <f t="shared" si="55"/>
        <v>0</v>
      </c>
      <c r="Q310" s="155">
        <f t="shared" si="56"/>
        <v>0</v>
      </c>
    </row>
    <row r="311" spans="1:17" s="142" customFormat="1">
      <c r="A311" s="64">
        <v>16357</v>
      </c>
      <c r="B311" s="65" t="s">
        <v>418</v>
      </c>
      <c r="C311" s="20">
        <v>0</v>
      </c>
      <c r="D311" s="11"/>
      <c r="E311" s="144">
        <v>0</v>
      </c>
      <c r="F311" s="132"/>
      <c r="G311" s="278">
        <v>0</v>
      </c>
      <c r="H311" s="278">
        <v>0</v>
      </c>
      <c r="I311" s="278">
        <v>0</v>
      </c>
      <c r="J311" s="129"/>
      <c r="K311" s="126"/>
      <c r="L311" s="154">
        <f t="shared" si="57"/>
        <v>0</v>
      </c>
      <c r="M311" s="154">
        <f t="shared" si="57"/>
        <v>0</v>
      </c>
      <c r="N311" s="154">
        <f t="shared" si="57"/>
        <v>0</v>
      </c>
      <c r="O311" s="154">
        <f t="shared" si="57"/>
        <v>0</v>
      </c>
      <c r="P311" s="155">
        <f t="shared" si="55"/>
        <v>0</v>
      </c>
      <c r="Q311" s="155">
        <f t="shared" si="56"/>
        <v>0</v>
      </c>
    </row>
    <row r="312" spans="1:17" s="142" customFormat="1">
      <c r="A312" s="62">
        <v>7339</v>
      </c>
      <c r="B312" s="66" t="s">
        <v>419</v>
      </c>
      <c r="C312" s="21">
        <v>0</v>
      </c>
      <c r="D312" s="11"/>
      <c r="E312" s="144">
        <v>0</v>
      </c>
      <c r="F312" s="132"/>
      <c r="G312" s="278">
        <v>0</v>
      </c>
      <c r="H312" s="278">
        <v>0</v>
      </c>
      <c r="I312" s="278">
        <v>0</v>
      </c>
      <c r="J312" s="129"/>
      <c r="K312" s="126"/>
      <c r="L312" s="154">
        <f t="shared" si="57"/>
        <v>0</v>
      </c>
      <c r="M312" s="154">
        <f t="shared" si="57"/>
        <v>0</v>
      </c>
      <c r="N312" s="154">
        <f t="shared" si="57"/>
        <v>0</v>
      </c>
      <c r="O312" s="154">
        <f t="shared" si="57"/>
        <v>0</v>
      </c>
      <c r="P312" s="155">
        <f t="shared" si="55"/>
        <v>0</v>
      </c>
      <c r="Q312" s="155">
        <f t="shared" si="56"/>
        <v>0</v>
      </c>
    </row>
    <row r="313" spans="1:17" s="142" customFormat="1">
      <c r="A313" s="64">
        <v>2344</v>
      </c>
      <c r="B313" s="65" t="s">
        <v>408</v>
      </c>
      <c r="C313" s="20">
        <v>0</v>
      </c>
      <c r="D313" s="11"/>
      <c r="E313" s="144">
        <v>0</v>
      </c>
      <c r="F313" s="132"/>
      <c r="G313" s="278">
        <v>0</v>
      </c>
      <c r="H313" s="278">
        <v>0</v>
      </c>
      <c r="I313" s="278">
        <v>0</v>
      </c>
      <c r="J313" s="129"/>
      <c r="K313" s="126"/>
      <c r="L313" s="154">
        <f t="shared" si="57"/>
        <v>0</v>
      </c>
      <c r="M313" s="154">
        <f t="shared" si="57"/>
        <v>0</v>
      </c>
      <c r="N313" s="154">
        <f t="shared" si="57"/>
        <v>0</v>
      </c>
      <c r="O313" s="154">
        <f t="shared" si="57"/>
        <v>0</v>
      </c>
      <c r="P313" s="155">
        <f t="shared" si="55"/>
        <v>0</v>
      </c>
      <c r="Q313" s="155">
        <f t="shared" si="56"/>
        <v>0</v>
      </c>
    </row>
    <row r="314" spans="1:17" s="142" customFormat="1">
      <c r="A314" s="62">
        <v>2418</v>
      </c>
      <c r="B314" s="66" t="s">
        <v>420</v>
      </c>
      <c r="C314" s="21">
        <v>0</v>
      </c>
      <c r="D314" s="11"/>
      <c r="E314" s="144">
        <v>0</v>
      </c>
      <c r="F314" s="132"/>
      <c r="G314" s="278">
        <v>0</v>
      </c>
      <c r="H314" s="278">
        <v>0</v>
      </c>
      <c r="I314" s="278">
        <v>0</v>
      </c>
      <c r="J314" s="129"/>
      <c r="K314" s="126"/>
      <c r="L314" s="154">
        <f t="shared" si="57"/>
        <v>0</v>
      </c>
      <c r="M314" s="154">
        <f t="shared" si="57"/>
        <v>0</v>
      </c>
      <c r="N314" s="154">
        <f t="shared" si="57"/>
        <v>0</v>
      </c>
      <c r="O314" s="154">
        <f t="shared" si="57"/>
        <v>0</v>
      </c>
      <c r="P314" s="155">
        <f t="shared" si="55"/>
        <v>0</v>
      </c>
      <c r="Q314" s="155">
        <f t="shared" si="56"/>
        <v>0</v>
      </c>
    </row>
    <row r="315" spans="1:17" s="142" customFormat="1">
      <c r="A315" s="64">
        <v>2345</v>
      </c>
      <c r="B315" s="65" t="s">
        <v>421</v>
      </c>
      <c r="C315" s="20">
        <v>0</v>
      </c>
      <c r="D315" s="11"/>
      <c r="E315" s="144">
        <v>0</v>
      </c>
      <c r="F315" s="132"/>
      <c r="G315" s="278">
        <v>0</v>
      </c>
      <c r="H315" s="278">
        <v>0</v>
      </c>
      <c r="I315" s="278">
        <v>0</v>
      </c>
      <c r="J315" s="129"/>
      <c r="K315" s="126"/>
      <c r="L315" s="154">
        <f t="shared" si="57"/>
        <v>0</v>
      </c>
      <c r="M315" s="154">
        <f t="shared" si="57"/>
        <v>0</v>
      </c>
      <c r="N315" s="154">
        <f t="shared" si="57"/>
        <v>0</v>
      </c>
      <c r="O315" s="154">
        <f t="shared" si="57"/>
        <v>0</v>
      </c>
      <c r="P315" s="155">
        <f t="shared" si="55"/>
        <v>0</v>
      </c>
      <c r="Q315" s="155">
        <f t="shared" si="56"/>
        <v>0</v>
      </c>
    </row>
    <row r="316" spans="1:17" s="142" customFormat="1">
      <c r="A316" s="62">
        <v>13430</v>
      </c>
      <c r="B316" s="66" t="s">
        <v>422</v>
      </c>
      <c r="C316" s="21">
        <v>0</v>
      </c>
      <c r="D316" s="11"/>
      <c r="E316" s="144">
        <v>0</v>
      </c>
      <c r="F316" s="132"/>
      <c r="G316" s="278">
        <v>0</v>
      </c>
      <c r="H316" s="278">
        <v>0</v>
      </c>
      <c r="I316" s="278">
        <v>0</v>
      </c>
      <c r="J316" s="129"/>
      <c r="K316" s="126"/>
      <c r="L316" s="154">
        <f t="shared" si="57"/>
        <v>0</v>
      </c>
      <c r="M316" s="154">
        <f t="shared" si="57"/>
        <v>0</v>
      </c>
      <c r="N316" s="154">
        <f t="shared" si="57"/>
        <v>0</v>
      </c>
      <c r="O316" s="154">
        <f t="shared" si="57"/>
        <v>0</v>
      </c>
      <c r="P316" s="155">
        <f t="shared" si="55"/>
        <v>0</v>
      </c>
      <c r="Q316" s="155">
        <f t="shared" si="56"/>
        <v>0</v>
      </c>
    </row>
    <row r="317" spans="1:17">
      <c r="A317" s="24"/>
      <c r="B317" s="25"/>
      <c r="C317" s="26"/>
      <c r="D317" s="11"/>
      <c r="E317" s="130"/>
      <c r="F317" s="130"/>
      <c r="G317" s="131"/>
      <c r="H317" s="129"/>
      <c r="I317" s="129"/>
      <c r="J317" s="129"/>
      <c r="K317" s="126"/>
    </row>
    <row r="318" spans="1:17" ht="13.5" thickBot="1">
      <c r="A318" s="24"/>
      <c r="B318" s="27"/>
      <c r="C318" s="141">
        <f>SUM(C5:C317)</f>
        <v>1</v>
      </c>
      <c r="D318" s="178"/>
      <c r="E318" s="150">
        <f>SUM(E5:E317)</f>
        <v>0.99999999999999978</v>
      </c>
      <c r="F318" s="137"/>
      <c r="G318" s="179">
        <f>SUM(G5:G317)</f>
        <v>0</v>
      </c>
      <c r="H318" s="179">
        <f>SUM(H5:H316)</f>
        <v>0</v>
      </c>
      <c r="I318" s="179">
        <f>SUM(I5:I316)</f>
        <v>0</v>
      </c>
      <c r="L318" s="149">
        <f>SUM(L5:L317)</f>
        <v>0</v>
      </c>
      <c r="M318" s="149">
        <f>SUM(M5:M317)</f>
        <v>0</v>
      </c>
      <c r="N318" s="149">
        <f>SUM(N5:N317)</f>
        <v>0</v>
      </c>
      <c r="O318" s="149">
        <f>SUM(O5:O317)</f>
        <v>0</v>
      </c>
      <c r="P318" s="149">
        <f>SUM(P5:P317)</f>
        <v>0</v>
      </c>
    </row>
    <row r="319" spans="1:17" ht="13.5" thickTop="1">
      <c r="A319" s="24"/>
      <c r="B319" s="27"/>
      <c r="C319" s="134"/>
      <c r="D319" s="11"/>
      <c r="E319" s="133"/>
      <c r="F319" s="133"/>
    </row>
    <row r="320" spans="1:17">
      <c r="A320" s="24"/>
      <c r="B320" s="27"/>
      <c r="C320" s="134"/>
      <c r="D320" s="11"/>
      <c r="E320" s="136" t="s">
        <v>381</v>
      </c>
      <c r="F320" s="136"/>
      <c r="G320" s="135">
        <v>-4198908018</v>
      </c>
      <c r="K320" s="155"/>
    </row>
    <row r="321" spans="1:9">
      <c r="A321" s="24"/>
      <c r="B321" s="27"/>
      <c r="C321" s="134"/>
      <c r="D321" s="11"/>
      <c r="E321" s="136" t="s">
        <v>382</v>
      </c>
      <c r="F321" s="136"/>
      <c r="G321" s="151">
        <f>22897448+824275701-745616637-745817992</f>
        <v>-644261480</v>
      </c>
      <c r="I321" s="147"/>
    </row>
    <row r="322" spans="1:9">
      <c r="A322" s="24"/>
      <c r="B322" s="27"/>
      <c r="C322" s="134"/>
      <c r="D322" s="11"/>
      <c r="E322" s="136" t="s">
        <v>373</v>
      </c>
      <c r="F322" s="136"/>
      <c r="G322" s="135">
        <f>SUM(G320:G321)</f>
        <v>-4843169498</v>
      </c>
    </row>
    <row r="323" spans="1:9">
      <c r="A323" s="24"/>
      <c r="B323" s="27"/>
      <c r="C323" s="134"/>
      <c r="D323" s="11"/>
      <c r="E323" s="133"/>
      <c r="F323" s="133"/>
    </row>
    <row r="324" spans="1:9">
      <c r="A324" s="11"/>
      <c r="B324" s="11"/>
      <c r="C324" s="11"/>
      <c r="D324" s="11"/>
    </row>
    <row r="325" spans="1:9">
      <c r="C325" s="12"/>
    </row>
  </sheetData>
  <pageMargins left="0.7" right="0.7" top="0.75" bottom="0.75" header="0.3" footer="0.75"/>
  <pageSetup scale="36" firstPageNumber="3" fitToHeight="0" orientation="portrait" useFirstPageNumber="1" r:id="rId1"/>
  <headerFooter differentOddEven="1">
    <oddHeader xml:space="preserve">&amp;L&amp;"Arial,Bold"&amp;14New Mexico Retiree Health Care Authority&amp;"Arial,Regular"&amp;18
&amp;"Arial,Bold"&amp;12Schedule of Employer Allocations
As of and for the Year Ended June 30, 2017
</oddHeader>
    <oddFooter>&amp;R&amp;"Arial,Regular"&amp;10&amp;P</oddFooter>
    <evenHeader xml:space="preserve">&amp;L&amp;"Arial,Bold"&amp;14New Mexico Retiree Health Care Authority&amp;"-,Regular"&amp;11
&amp;"Arial,Bold"&amp;12Schedule of Employer Allocations
As of and for the Year Ended June 30, 2017
</evenHeader>
    <evenFooter>&amp;R&amp;"Arial,Regular"&amp;10&amp;P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H310"/>
  <sheetViews>
    <sheetView view="pageBreakPreview" topLeftCell="A279" zoomScaleNormal="100" zoomScaleSheetLayoutView="100" workbookViewId="0">
      <selection activeCell="A10" sqref="A10:G10"/>
    </sheetView>
  </sheetViews>
  <sheetFormatPr defaultColWidth="9.28515625" defaultRowHeight="12.75"/>
  <cols>
    <col min="1" max="1" width="12.28515625" style="142" customWidth="1"/>
    <col min="2" max="2" width="64.42578125" style="142" bestFit="1" customWidth="1"/>
    <col min="3" max="3" width="17.7109375" style="142" customWidth="1"/>
    <col min="4" max="4" width="15.7109375" style="142" customWidth="1"/>
    <col min="5" max="5" width="69.7109375" style="142" bestFit="1" customWidth="1"/>
    <col min="6" max="6" width="22.5703125" style="142" bestFit="1" customWidth="1"/>
    <col min="7" max="7" width="25.42578125" style="142" bestFit="1" customWidth="1"/>
    <col min="8" max="8" width="21.5703125" style="142" bestFit="1" customWidth="1"/>
    <col min="9" max="16384" width="9.28515625" style="142"/>
  </cols>
  <sheetData>
    <row r="1" spans="1:8" ht="18">
      <c r="A1" s="170" t="s">
        <v>392</v>
      </c>
    </row>
    <row r="2" spans="1:8" ht="15.75">
      <c r="A2" s="169" t="s">
        <v>393</v>
      </c>
    </row>
    <row r="3" spans="1:8" ht="15.75">
      <c r="A3" s="169"/>
    </row>
    <row r="5" spans="1:8" ht="3.75" customHeight="1"/>
    <row r="6" spans="1:8" ht="38.25">
      <c r="A6" s="252" t="s">
        <v>0</v>
      </c>
      <c r="B6" s="253" t="s">
        <v>1</v>
      </c>
      <c r="C6" s="252" t="s">
        <v>431</v>
      </c>
      <c r="D6" s="252" t="s">
        <v>2</v>
      </c>
    </row>
    <row r="7" spans="1:8">
      <c r="A7" s="227"/>
      <c r="B7" s="228"/>
      <c r="C7" s="227" t="s">
        <v>3</v>
      </c>
      <c r="D7" s="228" t="s">
        <v>4</v>
      </c>
    </row>
    <row r="8" spans="1:8">
      <c r="A8" s="227"/>
      <c r="B8" s="228"/>
      <c r="C8" s="227"/>
      <c r="D8" s="228"/>
    </row>
    <row r="9" spans="1:8">
      <c r="A9" s="220">
        <v>1341</v>
      </c>
      <c r="B9" s="249" t="s">
        <v>5</v>
      </c>
      <c r="C9" s="250">
        <v>23187710</v>
      </c>
      <c r="D9" s="251">
        <v>0.24027809999999938</v>
      </c>
      <c r="E9" s="146"/>
      <c r="F9" s="145"/>
      <c r="G9" s="125"/>
      <c r="H9" s="126"/>
    </row>
    <row r="10" spans="1:8">
      <c r="A10" s="218">
        <v>2308</v>
      </c>
      <c r="B10" s="219" t="s">
        <v>6</v>
      </c>
      <c r="C10" s="223">
        <v>29122</v>
      </c>
      <c r="D10" s="225">
        <v>3.0180000000000002E-4</v>
      </c>
      <c r="E10" s="146"/>
      <c r="F10" s="145"/>
      <c r="G10" s="125"/>
      <c r="H10" s="126"/>
    </row>
    <row r="11" spans="1:8">
      <c r="A11" s="220">
        <v>2340</v>
      </c>
      <c r="B11" s="221" t="s">
        <v>7</v>
      </c>
      <c r="C11" s="224">
        <v>38033</v>
      </c>
      <c r="D11" s="226">
        <v>3.9409999999999998E-4</v>
      </c>
      <c r="E11" s="146"/>
      <c r="F11" s="145"/>
      <c r="G11" s="125"/>
      <c r="H11" s="126"/>
    </row>
    <row r="12" spans="1:8">
      <c r="A12" s="218">
        <v>1301</v>
      </c>
      <c r="B12" s="219" t="s">
        <v>8</v>
      </c>
      <c r="C12" s="223">
        <v>41878</v>
      </c>
      <c r="D12" s="225">
        <v>4.3399999999999998E-4</v>
      </c>
      <c r="E12" s="146"/>
      <c r="F12" s="145"/>
      <c r="G12" s="125"/>
      <c r="H12" s="126"/>
    </row>
    <row r="13" spans="1:8">
      <c r="A13" s="220">
        <v>2390</v>
      </c>
      <c r="B13" s="221" t="s">
        <v>9</v>
      </c>
      <c r="C13" s="224">
        <v>29054</v>
      </c>
      <c r="D13" s="226">
        <v>3.011E-4</v>
      </c>
      <c r="E13" s="146"/>
      <c r="F13" s="145"/>
      <c r="G13" s="125"/>
      <c r="H13" s="126"/>
    </row>
    <row r="14" spans="1:8">
      <c r="A14" s="218">
        <v>15046</v>
      </c>
      <c r="B14" s="219" t="s">
        <v>10</v>
      </c>
      <c r="C14" s="223">
        <v>683148</v>
      </c>
      <c r="D14" s="225">
        <v>7.0790000000000002E-3</v>
      </c>
      <c r="E14" s="146"/>
      <c r="F14" s="145"/>
      <c r="G14" s="125"/>
      <c r="H14" s="126"/>
    </row>
    <row r="15" spans="1:8">
      <c r="A15" s="220">
        <v>4380</v>
      </c>
      <c r="B15" s="221" t="s">
        <v>11</v>
      </c>
      <c r="C15" s="224">
        <v>692378</v>
      </c>
      <c r="D15" s="226">
        <v>7.1745999999999997E-3</v>
      </c>
      <c r="E15" s="146"/>
      <c r="F15" s="145"/>
      <c r="G15" s="125"/>
      <c r="H15" s="126"/>
    </row>
    <row r="16" spans="1:8">
      <c r="A16" s="218">
        <v>2435</v>
      </c>
      <c r="B16" s="219" t="s">
        <v>409</v>
      </c>
      <c r="C16" s="223">
        <v>9301</v>
      </c>
      <c r="D16" s="225">
        <v>9.6399999999999999E-5</v>
      </c>
      <c r="E16" s="146"/>
      <c r="F16" s="145"/>
      <c r="G16" s="125"/>
      <c r="H16" s="126"/>
    </row>
    <row r="17" spans="1:8">
      <c r="A17" s="220">
        <v>4560</v>
      </c>
      <c r="B17" s="221" t="s">
        <v>12</v>
      </c>
      <c r="C17" s="224">
        <v>55870</v>
      </c>
      <c r="D17" s="226">
        <v>5.7890000000000003E-4</v>
      </c>
      <c r="E17" s="146"/>
      <c r="F17" s="145"/>
      <c r="G17" s="125"/>
      <c r="H17" s="126"/>
    </row>
    <row r="18" spans="1:8">
      <c r="A18" s="218">
        <v>2341</v>
      </c>
      <c r="B18" s="219" t="s">
        <v>440</v>
      </c>
      <c r="C18" s="223">
        <v>37405</v>
      </c>
      <c r="D18" s="225">
        <v>3.8759999999999999E-4</v>
      </c>
      <c r="E18" s="146"/>
      <c r="F18" s="145"/>
      <c r="G18" s="125"/>
      <c r="H18" s="126"/>
    </row>
    <row r="19" spans="1:8">
      <c r="A19" s="220">
        <v>4580</v>
      </c>
      <c r="B19" s="221" t="s">
        <v>410</v>
      </c>
      <c r="C19" s="224">
        <v>30365</v>
      </c>
      <c r="D19" s="226">
        <v>3.1470000000000001E-4</v>
      </c>
      <c r="E19" s="146"/>
      <c r="F19" s="145"/>
      <c r="G19" s="125"/>
      <c r="H19" s="126"/>
    </row>
    <row r="20" spans="1:8">
      <c r="A20" s="218">
        <v>2003</v>
      </c>
      <c r="B20" s="219" t="s">
        <v>13</v>
      </c>
      <c r="C20" s="223">
        <v>11152693</v>
      </c>
      <c r="D20" s="225">
        <v>0.1155674</v>
      </c>
      <c r="E20" s="146"/>
      <c r="F20" s="145"/>
      <c r="G20" s="125"/>
      <c r="H20" s="126"/>
    </row>
    <row r="21" spans="1:8">
      <c r="A21" s="220">
        <v>2412</v>
      </c>
      <c r="B21" s="221" t="s">
        <v>14</v>
      </c>
      <c r="C21" s="224">
        <v>60186</v>
      </c>
      <c r="D21" s="226">
        <v>6.2370000000000004E-4</v>
      </c>
      <c r="E21" s="146"/>
      <c r="F21" s="145"/>
      <c r="G21" s="125"/>
      <c r="H21" s="126"/>
    </row>
    <row r="22" spans="1:8">
      <c r="A22" s="218">
        <v>2402</v>
      </c>
      <c r="B22" s="219" t="s">
        <v>15</v>
      </c>
      <c r="C22" s="223">
        <v>27466</v>
      </c>
      <c r="D22" s="225">
        <v>2.8459999999999998E-4</v>
      </c>
      <c r="E22" s="146"/>
      <c r="F22" s="145"/>
      <c r="G22" s="125"/>
      <c r="H22" s="126"/>
    </row>
    <row r="23" spans="1:8">
      <c r="A23" s="220">
        <v>2361</v>
      </c>
      <c r="B23" s="221" t="s">
        <v>16</v>
      </c>
      <c r="C23" s="224">
        <v>21424</v>
      </c>
      <c r="D23" s="226">
        <v>2.22E-4</v>
      </c>
      <c r="E23" s="146"/>
      <c r="F23" s="145"/>
      <c r="G23" s="125"/>
      <c r="H23" s="126"/>
    </row>
    <row r="24" spans="1:8">
      <c r="A24" s="218">
        <v>8347</v>
      </c>
      <c r="B24" s="219" t="s">
        <v>17</v>
      </c>
      <c r="C24" s="223">
        <v>27324</v>
      </c>
      <c r="D24" s="225">
        <v>2.831E-4</v>
      </c>
      <c r="E24" s="146"/>
      <c r="F24" s="145"/>
      <c r="G24" s="125"/>
      <c r="H24" s="126"/>
    </row>
    <row r="25" spans="1:8">
      <c r="A25" s="220">
        <v>2356</v>
      </c>
      <c r="B25" s="221" t="s">
        <v>18</v>
      </c>
      <c r="C25" s="224">
        <v>54853</v>
      </c>
      <c r="D25" s="226">
        <v>5.6840000000000005E-4</v>
      </c>
      <c r="E25" s="146"/>
      <c r="F25" s="145"/>
      <c r="G25" s="125"/>
      <c r="H25" s="126"/>
    </row>
    <row r="26" spans="1:8">
      <c r="A26" s="218">
        <v>7335</v>
      </c>
      <c r="B26" s="219" t="s">
        <v>19</v>
      </c>
      <c r="C26" s="223">
        <v>22031</v>
      </c>
      <c r="D26" s="225">
        <v>2.2829999999999999E-4</v>
      </c>
      <c r="E26" s="146"/>
      <c r="F26" s="145"/>
      <c r="G26" s="125"/>
      <c r="H26" s="126"/>
    </row>
    <row r="27" spans="1:8">
      <c r="A27" s="220">
        <v>575</v>
      </c>
      <c r="B27" s="221" t="s">
        <v>411</v>
      </c>
      <c r="C27" s="224">
        <v>11430</v>
      </c>
      <c r="D27" s="226">
        <v>1.184E-4</v>
      </c>
      <c r="E27" s="146"/>
      <c r="F27" s="145"/>
      <c r="G27" s="125"/>
      <c r="H27" s="126"/>
    </row>
    <row r="28" spans="1:8">
      <c r="A28" s="218">
        <v>2303</v>
      </c>
      <c r="B28" s="219" t="s">
        <v>20</v>
      </c>
      <c r="C28" s="223">
        <v>44397</v>
      </c>
      <c r="D28" s="225">
        <v>4.6010000000000002E-4</v>
      </c>
      <c r="E28" s="146"/>
      <c r="F28" s="145"/>
      <c r="G28" s="125"/>
      <c r="H28" s="126"/>
    </row>
    <row r="29" spans="1:8">
      <c r="A29" s="220">
        <v>20316</v>
      </c>
      <c r="B29" s="221" t="s">
        <v>21</v>
      </c>
      <c r="C29" s="224">
        <v>20525</v>
      </c>
      <c r="D29" s="226">
        <v>2.1269999999999999E-4</v>
      </c>
      <c r="E29" s="146"/>
      <c r="F29" s="145"/>
      <c r="G29" s="125"/>
      <c r="H29" s="126"/>
    </row>
    <row r="30" spans="1:8">
      <c r="A30" s="218">
        <v>23121</v>
      </c>
      <c r="B30" s="219" t="s">
        <v>22</v>
      </c>
      <c r="C30" s="223">
        <v>29293</v>
      </c>
      <c r="D30" s="225">
        <v>3.035E-4</v>
      </c>
      <c r="E30" s="146"/>
      <c r="F30" s="145"/>
      <c r="G30" s="125"/>
      <c r="H30" s="126"/>
    </row>
    <row r="31" spans="1:8">
      <c r="A31" s="220">
        <v>3004</v>
      </c>
      <c r="B31" s="221" t="s">
        <v>23</v>
      </c>
      <c r="C31" s="224">
        <v>465767</v>
      </c>
      <c r="D31" s="226">
        <v>4.8263999999999998E-3</v>
      </c>
      <c r="E31" s="146"/>
      <c r="F31" s="145"/>
      <c r="G31" s="125"/>
      <c r="H31" s="126"/>
    </row>
    <row r="32" spans="1:8">
      <c r="A32" s="218">
        <v>16050</v>
      </c>
      <c r="B32" s="219" t="s">
        <v>24</v>
      </c>
      <c r="C32" s="223">
        <v>318112</v>
      </c>
      <c r="D32" s="225">
        <v>3.2964000000000001E-3</v>
      </c>
      <c r="E32" s="146"/>
      <c r="F32" s="145"/>
      <c r="G32" s="125"/>
      <c r="H32" s="126"/>
    </row>
    <row r="33" spans="1:8">
      <c r="A33" s="220">
        <v>14043</v>
      </c>
      <c r="B33" s="221" t="s">
        <v>25</v>
      </c>
      <c r="C33" s="224">
        <v>459851</v>
      </c>
      <c r="D33" s="226">
        <v>4.7651000000000004E-3</v>
      </c>
      <c r="E33" s="146"/>
      <c r="F33" s="145"/>
      <c r="G33" s="125"/>
      <c r="H33" s="126"/>
    </row>
    <row r="34" spans="1:8">
      <c r="A34" s="218">
        <v>3010</v>
      </c>
      <c r="B34" s="219" t="s">
        <v>26</v>
      </c>
      <c r="C34" s="223">
        <v>2772739</v>
      </c>
      <c r="D34" s="225">
        <v>2.8731900000000001E-2</v>
      </c>
      <c r="E34" s="146"/>
      <c r="F34" s="145"/>
      <c r="G34" s="125"/>
      <c r="H34" s="126"/>
    </row>
    <row r="35" spans="1:8">
      <c r="A35" s="220">
        <v>29086</v>
      </c>
      <c r="B35" s="221" t="s">
        <v>27</v>
      </c>
      <c r="C35" s="224">
        <v>438827</v>
      </c>
      <c r="D35" s="226">
        <v>4.5472000000000004E-3</v>
      </c>
      <c r="E35" s="146"/>
      <c r="F35" s="145"/>
      <c r="G35" s="125"/>
      <c r="H35" s="126"/>
    </row>
    <row r="36" spans="1:8">
      <c r="A36" s="218">
        <v>16051</v>
      </c>
      <c r="B36" s="219" t="s">
        <v>28</v>
      </c>
      <c r="C36" s="223">
        <v>364983</v>
      </c>
      <c r="D36" s="225">
        <v>3.7821E-3</v>
      </c>
      <c r="E36" s="146"/>
      <c r="F36" s="145"/>
      <c r="G36" s="125"/>
      <c r="H36" s="126"/>
    </row>
    <row r="37" spans="1:8">
      <c r="A37" s="220">
        <v>26077</v>
      </c>
      <c r="B37" s="221" t="s">
        <v>29</v>
      </c>
      <c r="C37" s="224">
        <v>70043</v>
      </c>
      <c r="D37" s="226">
        <v>7.2579999999999997E-4</v>
      </c>
      <c r="E37" s="146"/>
      <c r="F37" s="145"/>
      <c r="G37" s="125"/>
      <c r="H37" s="126"/>
    </row>
    <row r="38" spans="1:8">
      <c r="A38" s="218">
        <v>3005</v>
      </c>
      <c r="B38" s="219" t="s">
        <v>30</v>
      </c>
      <c r="C38" s="223">
        <v>816066</v>
      </c>
      <c r="D38" s="225">
        <v>8.4562999999999999E-3</v>
      </c>
      <c r="E38" s="146"/>
      <c r="F38" s="145"/>
      <c r="G38" s="125"/>
      <c r="H38" s="126"/>
    </row>
    <row r="39" spans="1:8">
      <c r="A39" s="220">
        <v>26078</v>
      </c>
      <c r="B39" s="221" t="s">
        <v>31</v>
      </c>
      <c r="C39" s="224">
        <v>31024</v>
      </c>
      <c r="D39" s="226">
        <v>3.2150000000000001E-4</v>
      </c>
      <c r="E39" s="146"/>
      <c r="F39" s="145"/>
      <c r="G39" s="125"/>
      <c r="H39" s="126"/>
    </row>
    <row r="40" spans="1:8">
      <c r="A40" s="218">
        <v>16053</v>
      </c>
      <c r="B40" s="219" t="s">
        <v>32</v>
      </c>
      <c r="C40" s="223">
        <v>853600</v>
      </c>
      <c r="D40" s="225">
        <v>8.8451999999999992E-3</v>
      </c>
      <c r="E40" s="146"/>
      <c r="F40" s="145"/>
      <c r="G40" s="125"/>
      <c r="H40" s="126"/>
    </row>
    <row r="41" spans="1:8">
      <c r="A41" s="220">
        <v>2123</v>
      </c>
      <c r="B41" s="221" t="s">
        <v>33</v>
      </c>
      <c r="C41" s="224">
        <v>1632735</v>
      </c>
      <c r="D41" s="226">
        <v>1.6918900000000001E-2</v>
      </c>
      <c r="E41" s="146"/>
      <c r="F41" s="145"/>
      <c r="G41" s="125"/>
      <c r="H41" s="126"/>
    </row>
    <row r="42" spans="1:8">
      <c r="A42" s="218">
        <v>2150</v>
      </c>
      <c r="B42" s="219" t="s">
        <v>34</v>
      </c>
      <c r="C42" s="223">
        <v>55557</v>
      </c>
      <c r="D42" s="225">
        <v>5.7569999999999995E-4</v>
      </c>
      <c r="E42" s="146"/>
      <c r="F42" s="145"/>
      <c r="G42" s="125"/>
      <c r="H42" s="126"/>
    </row>
    <row r="43" spans="1:8">
      <c r="A43" s="220">
        <v>2336</v>
      </c>
      <c r="B43" s="221" t="s">
        <v>35</v>
      </c>
      <c r="C43" s="224">
        <v>24387</v>
      </c>
      <c r="D43" s="226">
        <v>2.5270000000000002E-4</v>
      </c>
      <c r="E43" s="146"/>
      <c r="F43" s="145"/>
      <c r="G43" s="125"/>
      <c r="H43" s="126"/>
    </row>
    <row r="44" spans="1:8">
      <c r="A44" s="218">
        <v>17126</v>
      </c>
      <c r="B44" s="219" t="s">
        <v>36</v>
      </c>
      <c r="C44" s="223">
        <v>68793</v>
      </c>
      <c r="D44" s="225">
        <v>7.1290000000000004E-4</v>
      </c>
      <c r="E44" s="146"/>
      <c r="F44" s="145"/>
      <c r="G44" s="125"/>
      <c r="H44" s="126"/>
    </row>
    <row r="45" spans="1:8">
      <c r="A45" s="220">
        <v>3030</v>
      </c>
      <c r="B45" s="221" t="s">
        <v>37</v>
      </c>
      <c r="C45" s="224">
        <v>215766</v>
      </c>
      <c r="D45" s="226">
        <v>2.2358E-3</v>
      </c>
      <c r="E45" s="146"/>
      <c r="F45" s="145"/>
      <c r="G45" s="125"/>
      <c r="H45" s="126"/>
    </row>
    <row r="46" spans="1:8">
      <c r="A46" s="218">
        <v>2353</v>
      </c>
      <c r="B46" s="219" t="s">
        <v>38</v>
      </c>
      <c r="C46" s="223">
        <v>49259</v>
      </c>
      <c r="D46" s="225">
        <v>5.1040000000000005E-4</v>
      </c>
      <c r="E46" s="146"/>
      <c r="F46" s="145"/>
      <c r="G46" s="125"/>
      <c r="H46" s="126"/>
    </row>
    <row r="47" spans="1:8">
      <c r="A47" s="220">
        <v>3040</v>
      </c>
      <c r="B47" s="221" t="s">
        <v>39</v>
      </c>
      <c r="C47" s="224">
        <v>73961</v>
      </c>
      <c r="D47" s="226">
        <v>7.6639999999999998E-4</v>
      </c>
      <c r="E47" s="146"/>
      <c r="F47" s="145"/>
      <c r="G47" s="125"/>
      <c r="H47" s="126"/>
    </row>
    <row r="48" spans="1:8">
      <c r="A48" s="218">
        <v>2367</v>
      </c>
      <c r="B48" s="219" t="s">
        <v>40</v>
      </c>
      <c r="C48" s="223">
        <v>44652</v>
      </c>
      <c r="D48" s="225">
        <v>4.6270000000000003E-4</v>
      </c>
      <c r="E48" s="146"/>
      <c r="F48" s="145"/>
      <c r="G48" s="125"/>
      <c r="H48" s="126"/>
    </row>
    <row r="49" spans="1:8">
      <c r="A49" s="220">
        <v>9027</v>
      </c>
      <c r="B49" s="221" t="s">
        <v>41</v>
      </c>
      <c r="C49" s="224">
        <v>61000</v>
      </c>
      <c r="D49" s="226">
        <v>6.3210000000000002E-4</v>
      </c>
      <c r="E49" s="146"/>
      <c r="F49" s="145"/>
      <c r="G49" s="125"/>
      <c r="H49" s="126"/>
    </row>
    <row r="50" spans="1:8">
      <c r="A50" s="218">
        <v>2010</v>
      </c>
      <c r="B50" s="219" t="s">
        <v>42</v>
      </c>
      <c r="C50" s="223">
        <v>252006</v>
      </c>
      <c r="D50" s="225">
        <v>2.6113999999999998E-3</v>
      </c>
      <c r="E50" s="146"/>
      <c r="F50" s="145"/>
      <c r="G50" s="125"/>
      <c r="H50" s="126"/>
    </row>
    <row r="51" spans="1:8">
      <c r="A51" s="220">
        <v>2020</v>
      </c>
      <c r="B51" s="221" t="s">
        <v>43</v>
      </c>
      <c r="C51" s="224">
        <v>6626771</v>
      </c>
      <c r="D51" s="226">
        <v>6.8668499999999993E-2</v>
      </c>
      <c r="E51" s="146"/>
      <c r="F51" s="145"/>
      <c r="G51" s="125"/>
      <c r="H51" s="126"/>
    </row>
    <row r="52" spans="1:8">
      <c r="A52" s="218">
        <v>2040</v>
      </c>
      <c r="B52" s="219" t="s">
        <v>44</v>
      </c>
      <c r="C52" s="223">
        <v>86158</v>
      </c>
      <c r="D52" s="225">
        <v>8.9280000000000002E-4</v>
      </c>
      <c r="E52" s="146"/>
      <c r="F52" s="145"/>
      <c r="G52" s="125"/>
      <c r="H52" s="126"/>
    </row>
    <row r="53" spans="1:8">
      <c r="A53" s="220">
        <v>2060</v>
      </c>
      <c r="B53" s="221" t="s">
        <v>45</v>
      </c>
      <c r="C53" s="224">
        <v>73747</v>
      </c>
      <c r="D53" s="226">
        <v>7.6420000000000004E-4</v>
      </c>
      <c r="E53" s="146"/>
      <c r="F53" s="145"/>
      <c r="G53" s="125"/>
      <c r="H53" s="126"/>
    </row>
    <row r="54" spans="1:8">
      <c r="A54" s="218">
        <v>2090</v>
      </c>
      <c r="B54" s="219" t="s">
        <v>46</v>
      </c>
      <c r="C54" s="223">
        <v>74698</v>
      </c>
      <c r="D54" s="225">
        <v>7.7399999999999995E-4</v>
      </c>
      <c r="E54" s="146"/>
      <c r="F54" s="145"/>
      <c r="G54" s="125"/>
      <c r="H54" s="126"/>
    </row>
    <row r="55" spans="1:8">
      <c r="A55" s="220">
        <v>2110</v>
      </c>
      <c r="B55" s="221" t="s">
        <v>47</v>
      </c>
      <c r="C55" s="224">
        <v>607378</v>
      </c>
      <c r="D55" s="226">
        <v>6.2937999999999996E-3</v>
      </c>
      <c r="E55" s="146"/>
      <c r="F55" s="145"/>
      <c r="G55" s="125"/>
      <c r="H55" s="126"/>
    </row>
    <row r="56" spans="1:8">
      <c r="A56" s="218">
        <v>2180</v>
      </c>
      <c r="B56" s="219" t="s">
        <v>48</v>
      </c>
      <c r="C56" s="223">
        <v>273666</v>
      </c>
      <c r="D56" s="225">
        <v>2.8357999999999999E-3</v>
      </c>
      <c r="E56" s="146"/>
      <c r="F56" s="145"/>
      <c r="G56" s="125"/>
      <c r="H56" s="126"/>
    </row>
    <row r="57" spans="1:8">
      <c r="A57" s="220">
        <v>2210</v>
      </c>
      <c r="B57" s="221" t="s">
        <v>49</v>
      </c>
      <c r="C57" s="224">
        <v>130971</v>
      </c>
      <c r="D57" s="226">
        <v>1.3572E-3</v>
      </c>
      <c r="E57" s="146"/>
      <c r="F57" s="145"/>
      <c r="G57" s="125"/>
      <c r="H57" s="126"/>
    </row>
    <row r="58" spans="1:8">
      <c r="A58" s="218">
        <v>2290</v>
      </c>
      <c r="B58" s="219" t="s">
        <v>50</v>
      </c>
      <c r="C58" s="223">
        <v>125898</v>
      </c>
      <c r="D58" s="225">
        <v>1.3045999999999999E-3</v>
      </c>
      <c r="E58" s="146"/>
      <c r="F58" s="145"/>
      <c r="G58" s="125"/>
      <c r="H58" s="126"/>
    </row>
    <row r="59" spans="1:8">
      <c r="A59" s="220">
        <v>2310</v>
      </c>
      <c r="B59" s="221" t="s">
        <v>51</v>
      </c>
      <c r="C59" s="224">
        <v>933907</v>
      </c>
      <c r="D59" s="226">
        <v>9.6773999999999992E-3</v>
      </c>
      <c r="E59" s="146"/>
      <c r="F59" s="145"/>
      <c r="G59" s="125"/>
      <c r="H59" s="126"/>
    </row>
    <row r="60" spans="1:8">
      <c r="A60" s="218">
        <v>2330</v>
      </c>
      <c r="B60" s="219" t="s">
        <v>52</v>
      </c>
      <c r="C60" s="223">
        <v>325548</v>
      </c>
      <c r="D60" s="225">
        <v>3.3733999999999999E-3</v>
      </c>
      <c r="E60" s="146"/>
      <c r="F60" s="145"/>
      <c r="G60" s="125"/>
      <c r="H60" s="126"/>
    </row>
    <row r="61" spans="1:8">
      <c r="A61" s="220">
        <v>2380</v>
      </c>
      <c r="B61" s="221" t="s">
        <v>53</v>
      </c>
      <c r="C61" s="224">
        <v>38104</v>
      </c>
      <c r="D61" s="226">
        <v>3.948E-4</v>
      </c>
      <c r="E61" s="146"/>
      <c r="F61" s="145"/>
      <c r="G61" s="125"/>
      <c r="H61" s="126"/>
    </row>
    <row r="62" spans="1:8">
      <c r="A62" s="218">
        <v>2400</v>
      </c>
      <c r="B62" s="219" t="s">
        <v>54</v>
      </c>
      <c r="C62" s="223">
        <v>1539488</v>
      </c>
      <c r="D62" s="225">
        <v>1.5952600000000001E-2</v>
      </c>
      <c r="E62" s="146"/>
      <c r="F62" s="145"/>
      <c r="G62" s="125"/>
      <c r="H62" s="126"/>
    </row>
    <row r="63" spans="1:8">
      <c r="A63" s="220">
        <v>2410</v>
      </c>
      <c r="B63" s="221" t="s">
        <v>55</v>
      </c>
      <c r="C63" s="224">
        <v>184895</v>
      </c>
      <c r="D63" s="226">
        <v>1.9158999999999999E-3</v>
      </c>
      <c r="E63" s="146"/>
      <c r="F63" s="145"/>
      <c r="G63" s="125"/>
      <c r="H63" s="126"/>
    </row>
    <row r="64" spans="1:8">
      <c r="A64" s="218">
        <v>2500</v>
      </c>
      <c r="B64" s="219" t="s">
        <v>56</v>
      </c>
      <c r="C64" s="223">
        <v>26925</v>
      </c>
      <c r="D64" s="225">
        <v>2.7900000000000001E-4</v>
      </c>
      <c r="E64" s="146"/>
      <c r="F64" s="145"/>
      <c r="G64" s="125"/>
      <c r="H64" s="126"/>
    </row>
    <row r="65" spans="1:8">
      <c r="A65" s="220">
        <v>2550</v>
      </c>
      <c r="B65" s="221" t="s">
        <v>57</v>
      </c>
      <c r="C65" s="224">
        <v>115495</v>
      </c>
      <c r="D65" s="226">
        <v>1.1968E-3</v>
      </c>
      <c r="E65" s="146"/>
      <c r="F65" s="145"/>
      <c r="G65" s="125"/>
      <c r="H65" s="126"/>
    </row>
    <row r="66" spans="1:8">
      <c r="A66" s="218">
        <v>2570</v>
      </c>
      <c r="B66" s="219" t="s">
        <v>58</v>
      </c>
      <c r="C66" s="223">
        <v>73972</v>
      </c>
      <c r="D66" s="225">
        <v>7.6650000000000004E-4</v>
      </c>
      <c r="E66" s="146"/>
      <c r="F66" s="145"/>
      <c r="G66" s="125"/>
      <c r="H66" s="126"/>
    </row>
    <row r="67" spans="1:8">
      <c r="A67" s="220">
        <v>2620</v>
      </c>
      <c r="B67" s="221" t="s">
        <v>59</v>
      </c>
      <c r="C67" s="224">
        <v>698787</v>
      </c>
      <c r="D67" s="226">
        <v>7.241E-3</v>
      </c>
      <c r="E67" s="146"/>
      <c r="F67" s="145"/>
      <c r="G67" s="125"/>
      <c r="H67" s="126"/>
    </row>
    <row r="68" spans="1:8">
      <c r="A68" s="218">
        <v>2630</v>
      </c>
      <c r="B68" s="219" t="s">
        <v>60</v>
      </c>
      <c r="C68" s="223">
        <v>545093</v>
      </c>
      <c r="D68" s="225">
        <v>5.6483999999999996E-3</v>
      </c>
      <c r="E68" s="146"/>
      <c r="F68" s="145"/>
      <c r="G68" s="125"/>
      <c r="H68" s="126"/>
    </row>
    <row r="69" spans="1:8">
      <c r="A69" s="220">
        <v>2690</v>
      </c>
      <c r="B69" s="221" t="s">
        <v>61</v>
      </c>
      <c r="C69" s="224">
        <v>1433523</v>
      </c>
      <c r="D69" s="226">
        <v>1.4854600000000001E-2</v>
      </c>
      <c r="E69" s="146"/>
      <c r="F69" s="145"/>
      <c r="G69" s="125"/>
      <c r="H69" s="126"/>
    </row>
    <row r="70" spans="1:8">
      <c r="A70" s="218">
        <v>2710</v>
      </c>
      <c r="B70" s="219" t="s">
        <v>62</v>
      </c>
      <c r="C70" s="223">
        <v>26652</v>
      </c>
      <c r="D70" s="225">
        <v>2.7619999999999999E-4</v>
      </c>
      <c r="E70" s="146"/>
      <c r="F70" s="145"/>
      <c r="G70" s="125"/>
      <c r="H70" s="126"/>
    </row>
    <row r="71" spans="1:8">
      <c r="A71" s="220">
        <v>2730</v>
      </c>
      <c r="B71" s="249" t="s">
        <v>63</v>
      </c>
      <c r="C71" s="250">
        <v>94350</v>
      </c>
      <c r="D71" s="251">
        <v>9.7769999999999997E-4</v>
      </c>
      <c r="E71" s="146"/>
      <c r="F71" s="145"/>
      <c r="G71" s="125"/>
      <c r="H71" s="126"/>
    </row>
    <row r="72" spans="1:8">
      <c r="A72" s="218">
        <v>2950</v>
      </c>
      <c r="B72" s="219" t="s">
        <v>64</v>
      </c>
      <c r="C72" s="223">
        <v>79011</v>
      </c>
      <c r="D72" s="225">
        <v>8.187E-4</v>
      </c>
      <c r="E72" s="146"/>
      <c r="F72" s="145"/>
      <c r="G72" s="125"/>
      <c r="H72" s="126"/>
    </row>
    <row r="73" spans="1:8">
      <c r="A73" s="220">
        <v>2760</v>
      </c>
      <c r="B73" s="221" t="s">
        <v>65</v>
      </c>
      <c r="C73" s="224">
        <v>72710</v>
      </c>
      <c r="D73" s="226">
        <v>7.5339999999999999E-4</v>
      </c>
      <c r="E73" s="146"/>
      <c r="F73" s="145"/>
      <c r="G73" s="125"/>
      <c r="H73" s="126"/>
    </row>
    <row r="74" spans="1:8">
      <c r="A74" s="218">
        <v>2780</v>
      </c>
      <c r="B74" s="219" t="s">
        <v>66</v>
      </c>
      <c r="C74" s="223">
        <v>6689</v>
      </c>
      <c r="D74" s="225">
        <v>6.9300000000000004E-5</v>
      </c>
      <c r="E74" s="146"/>
      <c r="F74" s="145"/>
      <c r="G74" s="125"/>
      <c r="H74" s="126"/>
    </row>
    <row r="75" spans="1:8">
      <c r="A75" s="220">
        <v>2810</v>
      </c>
      <c r="B75" s="221" t="s">
        <v>67</v>
      </c>
      <c r="C75" s="224">
        <v>70688</v>
      </c>
      <c r="D75" s="226">
        <v>7.3249999999999997E-4</v>
      </c>
      <c r="E75" s="146"/>
      <c r="F75" s="145"/>
      <c r="G75" s="125"/>
      <c r="H75" s="126"/>
    </row>
    <row r="76" spans="1:8">
      <c r="A76" s="218">
        <v>18056</v>
      </c>
      <c r="B76" s="219" t="s">
        <v>68</v>
      </c>
      <c r="C76" s="223">
        <v>72849</v>
      </c>
      <c r="D76" s="225">
        <v>7.5489999999999997E-4</v>
      </c>
      <c r="E76" s="146"/>
      <c r="F76" s="145"/>
      <c r="G76" s="125"/>
      <c r="H76" s="126"/>
    </row>
    <row r="77" spans="1:8">
      <c r="A77" s="220">
        <v>15047</v>
      </c>
      <c r="B77" s="221" t="s">
        <v>69</v>
      </c>
      <c r="C77" s="224">
        <v>54483</v>
      </c>
      <c r="D77" s="226">
        <v>5.6459999999999995E-4</v>
      </c>
      <c r="E77" s="146"/>
      <c r="F77" s="145"/>
      <c r="G77" s="125"/>
      <c r="H77" s="126"/>
    </row>
    <row r="78" spans="1:8">
      <c r="A78" s="218">
        <v>5012</v>
      </c>
      <c r="B78" s="219" t="s">
        <v>70</v>
      </c>
      <c r="C78" s="223">
        <v>949125</v>
      </c>
      <c r="D78" s="225">
        <v>9.8350999999999994E-3</v>
      </c>
      <c r="E78" s="146"/>
      <c r="F78" s="145"/>
      <c r="G78" s="125"/>
      <c r="H78" s="126"/>
    </row>
    <row r="79" spans="1:8">
      <c r="A79" s="220">
        <v>8024</v>
      </c>
      <c r="B79" s="221" t="s">
        <v>71</v>
      </c>
      <c r="C79" s="224">
        <v>213295</v>
      </c>
      <c r="D79" s="226">
        <v>2.2101999999999998E-3</v>
      </c>
      <c r="E79" s="146"/>
      <c r="F79" s="145"/>
      <c r="G79" s="125"/>
      <c r="H79" s="126"/>
    </row>
    <row r="80" spans="1:8">
      <c r="A80" s="218">
        <v>3050</v>
      </c>
      <c r="B80" s="219" t="s">
        <v>72</v>
      </c>
      <c r="C80" s="223">
        <v>67228</v>
      </c>
      <c r="D80" s="225">
        <v>6.9660000000000002E-4</v>
      </c>
      <c r="E80" s="146"/>
      <c r="F80" s="145"/>
      <c r="G80" s="125"/>
      <c r="H80" s="126"/>
    </row>
    <row r="81" spans="1:8">
      <c r="A81" s="220">
        <v>2421</v>
      </c>
      <c r="B81" s="221" t="s">
        <v>73</v>
      </c>
      <c r="C81" s="224">
        <v>23977</v>
      </c>
      <c r="D81" s="226">
        <v>2.4850000000000002E-4</v>
      </c>
      <c r="E81" s="146"/>
      <c r="F81" s="145"/>
      <c r="G81" s="125"/>
      <c r="H81" s="126"/>
    </row>
    <row r="82" spans="1:8">
      <c r="A82" s="218">
        <v>26079</v>
      </c>
      <c r="B82" s="219" t="s">
        <v>74</v>
      </c>
      <c r="C82" s="223">
        <v>21611</v>
      </c>
      <c r="D82" s="225">
        <v>2.2389999999999999E-4</v>
      </c>
      <c r="E82" s="146"/>
      <c r="F82" s="145"/>
      <c r="G82" s="125"/>
      <c r="H82" s="126"/>
    </row>
    <row r="83" spans="1:8">
      <c r="A83" s="220">
        <v>2363</v>
      </c>
      <c r="B83" s="221" t="s">
        <v>75</v>
      </c>
      <c r="C83" s="224">
        <v>27816</v>
      </c>
      <c r="D83" s="226">
        <v>2.8820000000000001E-4</v>
      </c>
      <c r="E83" s="146"/>
      <c r="F83" s="145"/>
      <c r="G83" s="125"/>
      <c r="H83" s="126"/>
    </row>
    <row r="84" spans="1:8">
      <c r="A84" s="218">
        <v>2364</v>
      </c>
      <c r="B84" s="219" t="s">
        <v>76</v>
      </c>
      <c r="C84" s="223">
        <v>66558</v>
      </c>
      <c r="D84" s="225">
        <v>6.8970000000000001E-4</v>
      </c>
      <c r="E84" s="146"/>
      <c r="F84" s="145"/>
      <c r="G84" s="125"/>
      <c r="H84" s="126"/>
    </row>
    <row r="85" spans="1:8">
      <c r="A85" s="220">
        <v>25319</v>
      </c>
      <c r="B85" s="221" t="s">
        <v>77</v>
      </c>
      <c r="C85" s="224">
        <v>20381</v>
      </c>
      <c r="D85" s="226">
        <v>2.1120000000000001E-4</v>
      </c>
      <c r="E85" s="146"/>
      <c r="F85" s="145"/>
      <c r="G85" s="125"/>
      <c r="H85" s="126"/>
    </row>
    <row r="86" spans="1:8">
      <c r="A86" s="218">
        <v>29087</v>
      </c>
      <c r="B86" s="219" t="s">
        <v>78</v>
      </c>
      <c r="C86" s="223">
        <v>135472</v>
      </c>
      <c r="D86" s="225">
        <v>1.4038E-3</v>
      </c>
      <c r="E86" s="146"/>
      <c r="F86" s="145"/>
      <c r="G86" s="125"/>
      <c r="H86" s="126"/>
    </row>
    <row r="87" spans="1:8">
      <c r="A87" s="220">
        <v>3060</v>
      </c>
      <c r="B87" s="221" t="s">
        <v>79</v>
      </c>
      <c r="C87" s="224">
        <v>126266</v>
      </c>
      <c r="D87" s="226">
        <v>1.3083999999999999E-3</v>
      </c>
      <c r="E87" s="146"/>
      <c r="F87" s="145"/>
      <c r="G87" s="125"/>
      <c r="H87" s="126"/>
    </row>
    <row r="88" spans="1:8">
      <c r="A88" s="218">
        <v>19301</v>
      </c>
      <c r="B88" s="219" t="s">
        <v>80</v>
      </c>
      <c r="C88" s="223">
        <v>17218</v>
      </c>
      <c r="D88" s="225">
        <v>1.784E-4</v>
      </c>
      <c r="E88" s="146"/>
      <c r="F88" s="145"/>
      <c r="G88" s="125"/>
      <c r="H88" s="126"/>
    </row>
    <row r="89" spans="1:8">
      <c r="A89" s="220">
        <v>19059</v>
      </c>
      <c r="B89" s="221" t="s">
        <v>81</v>
      </c>
      <c r="C89" s="224">
        <v>684752</v>
      </c>
      <c r="D89" s="226">
        <v>7.0955999999999997E-3</v>
      </c>
      <c r="E89" s="146"/>
      <c r="F89" s="145"/>
      <c r="G89" s="125"/>
      <c r="H89" s="126"/>
    </row>
    <row r="90" spans="1:8">
      <c r="A90" s="218">
        <v>18057</v>
      </c>
      <c r="B90" s="219" t="s">
        <v>82</v>
      </c>
      <c r="C90" s="223">
        <v>24438</v>
      </c>
      <c r="D90" s="225">
        <v>2.5319999999999997E-4</v>
      </c>
      <c r="E90" s="146"/>
      <c r="F90" s="145"/>
      <c r="G90" s="125"/>
      <c r="H90" s="126"/>
    </row>
    <row r="91" spans="1:8">
      <c r="A91" s="220">
        <v>4008</v>
      </c>
      <c r="B91" s="221" t="s">
        <v>83</v>
      </c>
      <c r="C91" s="224">
        <v>109650</v>
      </c>
      <c r="D91" s="226">
        <v>1.1362E-3</v>
      </c>
      <c r="E91" s="146"/>
      <c r="F91" s="145"/>
      <c r="G91" s="125"/>
      <c r="H91" s="126"/>
    </row>
    <row r="92" spans="1:8">
      <c r="A92" s="218">
        <v>2350</v>
      </c>
      <c r="B92" s="219" t="s">
        <v>84</v>
      </c>
      <c r="C92" s="223">
        <v>34059</v>
      </c>
      <c r="D92" s="225">
        <v>3.5290000000000001E-4</v>
      </c>
      <c r="E92" s="146"/>
      <c r="F92" s="145"/>
      <c r="G92" s="125"/>
      <c r="H92" s="126"/>
    </row>
    <row r="93" spans="1:8">
      <c r="A93" s="220">
        <v>11117</v>
      </c>
      <c r="B93" s="221" t="s">
        <v>85</v>
      </c>
      <c r="C93" s="224">
        <v>40868</v>
      </c>
      <c r="D93" s="226">
        <v>4.2349999999999999E-4</v>
      </c>
      <c r="E93" s="146"/>
      <c r="F93" s="145"/>
      <c r="G93" s="125"/>
      <c r="H93" s="126"/>
    </row>
    <row r="94" spans="1:8">
      <c r="A94" s="218">
        <v>16359</v>
      </c>
      <c r="B94" s="219" t="s">
        <v>86</v>
      </c>
      <c r="C94" s="223">
        <v>5627</v>
      </c>
      <c r="D94" s="225">
        <v>5.8300000000000001E-5</v>
      </c>
      <c r="E94" s="146"/>
      <c r="F94" s="145"/>
      <c r="G94" s="125"/>
      <c r="H94" s="126"/>
    </row>
    <row r="95" spans="1:8">
      <c r="A95" s="220">
        <v>17115</v>
      </c>
      <c r="B95" s="221" t="s">
        <v>87</v>
      </c>
      <c r="C95" s="224">
        <v>128286</v>
      </c>
      <c r="D95" s="226">
        <v>1.3293000000000001E-3</v>
      </c>
      <c r="E95" s="146"/>
      <c r="F95" s="145"/>
      <c r="G95" s="125"/>
      <c r="H95" s="126"/>
    </row>
    <row r="96" spans="1:8">
      <c r="A96" s="218">
        <v>32117</v>
      </c>
      <c r="B96" s="219" t="s">
        <v>88</v>
      </c>
      <c r="C96" s="223">
        <v>7079</v>
      </c>
      <c r="D96" s="225">
        <v>7.3399999999999995E-5</v>
      </c>
      <c r="E96" s="146"/>
      <c r="F96" s="145"/>
      <c r="G96" s="125"/>
      <c r="H96" s="126"/>
    </row>
    <row r="97" spans="1:8">
      <c r="A97" s="220">
        <v>2304</v>
      </c>
      <c r="B97" s="221" t="s">
        <v>89</v>
      </c>
      <c r="C97" s="224">
        <v>43658</v>
      </c>
      <c r="D97" s="226">
        <v>4.5239999999999999E-4</v>
      </c>
      <c r="E97" s="146"/>
      <c r="F97" s="145"/>
      <c r="G97" s="125"/>
      <c r="H97" s="126"/>
    </row>
    <row r="98" spans="1:8">
      <c r="A98" s="218">
        <v>11101</v>
      </c>
      <c r="B98" s="219" t="s">
        <v>91</v>
      </c>
      <c r="C98" s="223">
        <v>630078</v>
      </c>
      <c r="D98" s="225">
        <v>6.5290000000000001E-3</v>
      </c>
      <c r="E98" s="146"/>
      <c r="F98" s="145"/>
      <c r="G98" s="125"/>
      <c r="H98" s="126"/>
    </row>
    <row r="99" spans="1:8">
      <c r="A99" s="220">
        <v>11102</v>
      </c>
      <c r="B99" s="221" t="s">
        <v>90</v>
      </c>
      <c r="C99" s="224">
        <v>201880</v>
      </c>
      <c r="D99" s="226">
        <v>2.0918999999999998E-3</v>
      </c>
      <c r="E99" s="146"/>
      <c r="F99" s="145"/>
      <c r="G99" s="125"/>
      <c r="H99" s="126"/>
    </row>
    <row r="100" spans="1:8">
      <c r="A100" s="218">
        <v>3100</v>
      </c>
      <c r="B100" s="219" t="s">
        <v>92</v>
      </c>
      <c r="C100" s="223">
        <v>400507</v>
      </c>
      <c r="D100" s="225">
        <v>4.1501999999999997E-3</v>
      </c>
      <c r="E100" s="146"/>
      <c r="F100" s="145"/>
      <c r="G100" s="125"/>
      <c r="H100" s="126"/>
    </row>
    <row r="101" spans="1:8">
      <c r="A101" s="220">
        <v>2323</v>
      </c>
      <c r="B101" s="221" t="s">
        <v>93</v>
      </c>
      <c r="C101" s="224">
        <v>41578</v>
      </c>
      <c r="D101" s="226">
        <v>4.3080000000000001E-4</v>
      </c>
      <c r="E101" s="146"/>
      <c r="F101" s="145"/>
      <c r="G101" s="125"/>
      <c r="H101" s="126"/>
    </row>
    <row r="102" spans="1:8">
      <c r="A102" s="218">
        <v>11034</v>
      </c>
      <c r="B102" s="219" t="s">
        <v>94</v>
      </c>
      <c r="C102" s="223">
        <v>30637</v>
      </c>
      <c r="D102" s="225">
        <v>3.1750000000000002E-4</v>
      </c>
      <c r="E102" s="146"/>
      <c r="F102" s="145"/>
      <c r="G102" s="125"/>
      <c r="H102" s="126"/>
    </row>
    <row r="103" spans="1:8">
      <c r="A103" s="220">
        <v>17054</v>
      </c>
      <c r="B103" s="221" t="s">
        <v>95</v>
      </c>
      <c r="C103" s="224">
        <v>466367</v>
      </c>
      <c r="D103" s="226">
        <v>4.8326000000000003E-3</v>
      </c>
      <c r="E103" s="146"/>
      <c r="F103" s="145"/>
      <c r="G103" s="125"/>
      <c r="H103" s="126"/>
    </row>
    <row r="104" spans="1:8">
      <c r="A104" s="218">
        <v>22065</v>
      </c>
      <c r="B104" s="219" t="s">
        <v>96</v>
      </c>
      <c r="C104" s="223">
        <v>98461</v>
      </c>
      <c r="D104" s="225">
        <v>1.0203E-3</v>
      </c>
      <c r="E104" s="146"/>
      <c r="F104" s="145"/>
      <c r="G104" s="125"/>
      <c r="H104" s="126"/>
    </row>
    <row r="105" spans="1:8">
      <c r="A105" s="220">
        <v>22201</v>
      </c>
      <c r="B105" s="221" t="s">
        <v>97</v>
      </c>
      <c r="C105" s="224">
        <v>49837</v>
      </c>
      <c r="D105" s="226">
        <v>5.1639999999999998E-4</v>
      </c>
      <c r="E105" s="146"/>
      <c r="F105" s="145"/>
      <c r="G105" s="125"/>
      <c r="H105" s="126"/>
    </row>
    <row r="106" spans="1:8">
      <c r="A106" s="218">
        <v>6016</v>
      </c>
      <c r="B106" s="219" t="s">
        <v>98</v>
      </c>
      <c r="C106" s="223">
        <v>103245</v>
      </c>
      <c r="D106" s="225">
        <v>1.0698999999999999E-3</v>
      </c>
      <c r="E106" s="146"/>
      <c r="F106" s="145"/>
      <c r="G106" s="125"/>
      <c r="H106" s="126"/>
    </row>
    <row r="107" spans="1:8">
      <c r="A107" s="220">
        <v>2432</v>
      </c>
      <c r="B107" s="221" t="s">
        <v>99</v>
      </c>
      <c r="C107" s="224">
        <v>52827</v>
      </c>
      <c r="D107" s="226">
        <v>5.4739999999999997E-4</v>
      </c>
      <c r="E107" s="146"/>
      <c r="F107" s="145"/>
      <c r="G107" s="125"/>
      <c r="H107" s="126"/>
    </row>
    <row r="108" spans="1:8">
      <c r="A108" s="218">
        <v>16052</v>
      </c>
      <c r="B108" s="219" t="s">
        <v>100</v>
      </c>
      <c r="C108" s="223">
        <v>1324517</v>
      </c>
      <c r="D108" s="225">
        <v>1.3724999999999999E-2</v>
      </c>
      <c r="E108" s="146"/>
      <c r="F108" s="145"/>
      <c r="G108" s="125"/>
      <c r="H108" s="126"/>
    </row>
    <row r="109" spans="1:8">
      <c r="A109" s="220">
        <v>11118</v>
      </c>
      <c r="B109" s="221" t="s">
        <v>101</v>
      </c>
      <c r="C109" s="224">
        <v>37254</v>
      </c>
      <c r="D109" s="226">
        <v>3.86E-4</v>
      </c>
      <c r="E109" s="146"/>
      <c r="F109" s="145"/>
      <c r="G109" s="125"/>
      <c r="H109" s="126"/>
    </row>
    <row r="110" spans="1:8">
      <c r="A110" s="218">
        <v>27083</v>
      </c>
      <c r="B110" s="219" t="s">
        <v>102</v>
      </c>
      <c r="C110" s="223">
        <v>54417</v>
      </c>
      <c r="D110" s="225">
        <v>5.6389999999999999E-4</v>
      </c>
      <c r="E110" s="146"/>
      <c r="F110" s="145"/>
      <c r="G110" s="125"/>
      <c r="H110" s="126"/>
    </row>
    <row r="111" spans="1:8">
      <c r="A111" s="220">
        <v>7021</v>
      </c>
      <c r="B111" s="221" t="s">
        <v>103</v>
      </c>
      <c r="C111" s="224">
        <v>1733754</v>
      </c>
      <c r="D111" s="226">
        <v>1.7965600000000002E-2</v>
      </c>
      <c r="E111" s="146"/>
      <c r="F111" s="145"/>
      <c r="G111" s="125"/>
      <c r="H111" s="126"/>
    </row>
    <row r="112" spans="1:8">
      <c r="A112" s="218">
        <v>4140</v>
      </c>
      <c r="B112" s="219" t="s">
        <v>104</v>
      </c>
      <c r="C112" s="223">
        <v>10933</v>
      </c>
      <c r="D112" s="225">
        <v>1.133E-4</v>
      </c>
      <c r="E112" s="146"/>
      <c r="F112" s="145"/>
      <c r="G112" s="125"/>
      <c r="H112" s="126"/>
    </row>
    <row r="113" spans="1:8">
      <c r="A113" s="220">
        <v>13041</v>
      </c>
      <c r="B113" s="221" t="s">
        <v>105</v>
      </c>
      <c r="C113" s="224">
        <v>1633802</v>
      </c>
      <c r="D113" s="226">
        <v>1.6929900000000001E-2</v>
      </c>
      <c r="E113" s="146"/>
      <c r="F113" s="145"/>
      <c r="G113" s="125"/>
      <c r="H113" s="126"/>
    </row>
    <row r="114" spans="1:8">
      <c r="A114" s="218">
        <v>2339</v>
      </c>
      <c r="B114" s="219" t="s">
        <v>106</v>
      </c>
      <c r="C114" s="223">
        <v>22146</v>
      </c>
      <c r="D114" s="225">
        <v>2.2949999999999999E-4</v>
      </c>
      <c r="E114" s="146"/>
      <c r="F114" s="145"/>
      <c r="G114" s="125"/>
      <c r="H114" s="126"/>
    </row>
    <row r="115" spans="1:8">
      <c r="A115" s="220">
        <v>2362</v>
      </c>
      <c r="B115" s="221" t="s">
        <v>107</v>
      </c>
      <c r="C115" s="224">
        <v>41644</v>
      </c>
      <c r="D115" s="226">
        <v>4.3150000000000003E-4</v>
      </c>
      <c r="E115" s="146"/>
      <c r="F115" s="145"/>
      <c r="G115" s="125"/>
      <c r="H115" s="126"/>
    </row>
    <row r="116" spans="1:8">
      <c r="A116" s="218">
        <v>5013</v>
      </c>
      <c r="B116" s="219" t="s">
        <v>108</v>
      </c>
      <c r="C116" s="223">
        <v>27414</v>
      </c>
      <c r="D116" s="225">
        <v>2.8410000000000002E-4</v>
      </c>
      <c r="E116" s="146"/>
      <c r="F116" s="145"/>
      <c r="G116" s="125"/>
      <c r="H116" s="126"/>
    </row>
    <row r="117" spans="1:8">
      <c r="A117" s="220">
        <v>3110</v>
      </c>
      <c r="B117" s="221" t="s">
        <v>109</v>
      </c>
      <c r="C117" s="224">
        <v>142449</v>
      </c>
      <c r="D117" s="226">
        <v>1.4760999999999999E-3</v>
      </c>
      <c r="E117" s="146"/>
      <c r="F117" s="145"/>
      <c r="G117" s="125"/>
      <c r="H117" s="126"/>
    </row>
    <row r="118" spans="1:8">
      <c r="A118" s="218">
        <v>14044</v>
      </c>
      <c r="B118" s="219" t="s">
        <v>110</v>
      </c>
      <c r="C118" s="223">
        <v>463327</v>
      </c>
      <c r="D118" s="225">
        <v>4.8011E-3</v>
      </c>
      <c r="E118" s="146"/>
      <c r="F118" s="145"/>
      <c r="G118" s="125"/>
      <c r="H118" s="126"/>
    </row>
    <row r="119" spans="1:8">
      <c r="A119" s="220">
        <v>4009</v>
      </c>
      <c r="B119" s="221" t="s">
        <v>111</v>
      </c>
      <c r="C119" s="224">
        <v>63008</v>
      </c>
      <c r="D119" s="226">
        <v>6.5289999999999999E-4</v>
      </c>
      <c r="E119" s="146"/>
      <c r="F119" s="145"/>
      <c r="G119" s="125"/>
      <c r="H119" s="126"/>
    </row>
    <row r="120" spans="1:8">
      <c r="A120" s="218">
        <v>7022</v>
      </c>
      <c r="B120" s="219" t="s">
        <v>112</v>
      </c>
      <c r="C120" s="223">
        <v>163212</v>
      </c>
      <c r="D120" s="225">
        <v>1.6911999999999999E-3</v>
      </c>
      <c r="E120" s="146"/>
      <c r="F120" s="145"/>
      <c r="G120" s="125"/>
      <c r="H120" s="126"/>
    </row>
    <row r="121" spans="1:8">
      <c r="A121" s="220">
        <v>2430</v>
      </c>
      <c r="B121" s="221" t="s">
        <v>113</v>
      </c>
      <c r="C121" s="224">
        <v>25905</v>
      </c>
      <c r="D121" s="226">
        <v>2.6840000000000002E-4</v>
      </c>
      <c r="E121" s="146"/>
      <c r="F121" s="145"/>
      <c r="G121" s="125"/>
      <c r="H121" s="126"/>
    </row>
    <row r="122" spans="1:8">
      <c r="A122" s="218">
        <v>9150</v>
      </c>
      <c r="B122" s="219" t="s">
        <v>114</v>
      </c>
      <c r="C122" s="223">
        <v>15415</v>
      </c>
      <c r="D122" s="225">
        <v>1.5970000000000001E-4</v>
      </c>
      <c r="E122" s="146"/>
      <c r="F122" s="145"/>
      <c r="G122" s="125"/>
      <c r="H122" s="126"/>
    </row>
    <row r="123" spans="1:8">
      <c r="A123" s="220">
        <v>6017</v>
      </c>
      <c r="B123" s="221" t="s">
        <v>115</v>
      </c>
      <c r="C123" s="224">
        <v>1137845</v>
      </c>
      <c r="D123" s="226">
        <v>1.1790699999999999E-2</v>
      </c>
      <c r="E123" s="146"/>
      <c r="F123" s="145"/>
      <c r="G123" s="125"/>
      <c r="H123" s="126"/>
    </row>
    <row r="124" spans="1:8">
      <c r="A124" s="218">
        <v>26080</v>
      </c>
      <c r="B124" s="219" t="s">
        <v>116</v>
      </c>
      <c r="C124" s="223">
        <v>31315</v>
      </c>
      <c r="D124" s="225">
        <v>3.2449999999999997E-4</v>
      </c>
      <c r="E124" s="146"/>
      <c r="F124" s="145"/>
      <c r="G124" s="125"/>
      <c r="H124" s="126"/>
    </row>
    <row r="125" spans="1:8">
      <c r="A125" s="220">
        <v>2327</v>
      </c>
      <c r="B125" s="221" t="s">
        <v>117</v>
      </c>
      <c r="C125" s="224">
        <v>45881</v>
      </c>
      <c r="D125" s="226">
        <v>4.7540000000000001E-4</v>
      </c>
      <c r="E125" s="146"/>
      <c r="F125" s="145"/>
      <c r="G125" s="125"/>
      <c r="H125" s="126"/>
    </row>
    <row r="126" spans="1:8">
      <c r="A126" s="218">
        <v>10119</v>
      </c>
      <c r="B126" s="219" t="s">
        <v>118</v>
      </c>
      <c r="C126" s="223">
        <v>22612</v>
      </c>
      <c r="D126" s="225">
        <v>2.343E-4</v>
      </c>
      <c r="E126" s="146"/>
      <c r="F126" s="145"/>
      <c r="G126" s="125"/>
      <c r="H126" s="126"/>
    </row>
    <row r="127" spans="1:8">
      <c r="A127" s="220">
        <v>573</v>
      </c>
      <c r="B127" s="221" t="s">
        <v>412</v>
      </c>
      <c r="C127" s="224">
        <v>28134</v>
      </c>
      <c r="D127" s="226">
        <v>2.9149999999999998E-4</v>
      </c>
      <c r="E127" s="146"/>
      <c r="F127" s="145"/>
      <c r="G127" s="125"/>
      <c r="H127" s="126"/>
    </row>
    <row r="128" spans="1:8">
      <c r="A128" s="218">
        <v>2368</v>
      </c>
      <c r="B128" s="219" t="s">
        <v>119</v>
      </c>
      <c r="C128" s="223">
        <v>36372</v>
      </c>
      <c r="D128" s="225">
        <v>3.769E-4</v>
      </c>
      <c r="E128" s="146"/>
      <c r="F128" s="145"/>
      <c r="G128" s="125"/>
      <c r="H128" s="126"/>
    </row>
    <row r="129" spans="1:8">
      <c r="A129" s="220">
        <v>7420</v>
      </c>
      <c r="B129" s="221" t="s">
        <v>120</v>
      </c>
      <c r="C129" s="224">
        <v>21170</v>
      </c>
      <c r="D129" s="226">
        <v>2.1939999999999999E-4</v>
      </c>
      <c r="E129" s="146"/>
      <c r="F129" s="145"/>
      <c r="G129" s="125"/>
      <c r="H129" s="126"/>
    </row>
    <row r="130" spans="1:8">
      <c r="A130" s="218">
        <v>6018</v>
      </c>
      <c r="B130" s="219" t="s">
        <v>121</v>
      </c>
      <c r="C130" s="223">
        <v>66712</v>
      </c>
      <c r="D130" s="225">
        <v>6.9130000000000005E-4</v>
      </c>
      <c r="E130" s="146"/>
      <c r="F130" s="145"/>
      <c r="G130" s="125"/>
      <c r="H130" s="126"/>
    </row>
    <row r="131" spans="1:8">
      <c r="A131" s="220">
        <v>3321</v>
      </c>
      <c r="B131" s="221" t="s">
        <v>122</v>
      </c>
      <c r="C131" s="224">
        <v>28074</v>
      </c>
      <c r="D131" s="226">
        <v>2.9090000000000002E-4</v>
      </c>
      <c r="E131" s="146"/>
      <c r="F131" s="145"/>
      <c r="G131" s="125"/>
      <c r="H131" s="126"/>
    </row>
    <row r="132" spans="1:8">
      <c r="A132" s="218">
        <v>29122</v>
      </c>
      <c r="B132" s="219" t="s">
        <v>123</v>
      </c>
      <c r="C132" s="223">
        <v>44436</v>
      </c>
      <c r="D132" s="225">
        <v>4.6050000000000003E-4</v>
      </c>
      <c r="E132" s="146"/>
      <c r="F132" s="145"/>
      <c r="G132" s="125"/>
      <c r="H132" s="126"/>
    </row>
    <row r="133" spans="1:8">
      <c r="A133" s="220">
        <v>29088</v>
      </c>
      <c r="B133" s="221" t="s">
        <v>124</v>
      </c>
      <c r="C133" s="273">
        <v>52236</v>
      </c>
      <c r="D133" s="226">
        <v>5.4129999999999998E-4</v>
      </c>
      <c r="E133" s="146"/>
      <c r="F133" s="145"/>
      <c r="G133" s="125"/>
      <c r="H133" s="126"/>
    </row>
    <row r="134" spans="1:8">
      <c r="A134" s="218">
        <v>7337</v>
      </c>
      <c r="B134" s="219" t="s">
        <v>125</v>
      </c>
      <c r="C134" s="223">
        <v>15677</v>
      </c>
      <c r="D134" s="225">
        <v>1.6239999999999999E-4</v>
      </c>
      <c r="E134" s="146"/>
      <c r="F134" s="145"/>
      <c r="G134" s="125"/>
      <c r="H134" s="126"/>
    </row>
    <row r="135" spans="1:8">
      <c r="A135" s="220">
        <v>2329</v>
      </c>
      <c r="B135" s="221" t="s">
        <v>126</v>
      </c>
      <c r="C135" s="224">
        <v>41220</v>
      </c>
      <c r="D135" s="226">
        <v>4.2709999999999997E-4</v>
      </c>
      <c r="E135" s="146"/>
      <c r="F135" s="145"/>
      <c r="G135" s="125"/>
      <c r="H135" s="126"/>
    </row>
    <row r="136" spans="1:8">
      <c r="A136" s="218">
        <v>2343</v>
      </c>
      <c r="B136" s="219" t="s">
        <v>127</v>
      </c>
      <c r="C136" s="223">
        <v>42280</v>
      </c>
      <c r="D136" s="225">
        <v>4.3810000000000002E-4</v>
      </c>
      <c r="E136" s="146"/>
      <c r="F136" s="145"/>
      <c r="G136" s="125"/>
      <c r="H136" s="126"/>
    </row>
    <row r="137" spans="1:8">
      <c r="A137" s="220">
        <v>17425</v>
      </c>
      <c r="B137" s="221" t="s">
        <v>128</v>
      </c>
      <c r="C137" s="224">
        <v>9062</v>
      </c>
      <c r="D137" s="226">
        <v>9.3900000000000006E-5</v>
      </c>
      <c r="E137" s="146"/>
      <c r="F137" s="145"/>
      <c r="G137" s="125"/>
      <c r="H137" s="126"/>
    </row>
    <row r="138" spans="1:8">
      <c r="A138" s="218">
        <v>4010</v>
      </c>
      <c r="B138" s="219" t="s">
        <v>129</v>
      </c>
      <c r="C138" s="223">
        <v>23572</v>
      </c>
      <c r="D138" s="225">
        <v>2.4429999999999998E-4</v>
      </c>
      <c r="E138" s="146"/>
      <c r="F138" s="145"/>
      <c r="G138" s="125"/>
      <c r="H138" s="126"/>
    </row>
    <row r="139" spans="1:8">
      <c r="A139" s="220">
        <v>7023</v>
      </c>
      <c r="B139" s="221" t="s">
        <v>130</v>
      </c>
      <c r="C139" s="224">
        <v>3004884</v>
      </c>
      <c r="D139" s="226">
        <v>3.1137499999999999E-2</v>
      </c>
      <c r="E139" s="146"/>
      <c r="F139" s="145"/>
      <c r="G139" s="125"/>
      <c r="H139" s="126"/>
    </row>
    <row r="140" spans="1:8">
      <c r="A140" s="218">
        <v>7338</v>
      </c>
      <c r="B140" s="219" t="s">
        <v>131</v>
      </c>
      <c r="C140" s="223">
        <v>26876</v>
      </c>
      <c r="D140" s="225">
        <v>2.7849999999999999E-4</v>
      </c>
      <c r="E140" s="146"/>
      <c r="F140" s="145"/>
      <c r="G140" s="125"/>
      <c r="H140" s="126"/>
    </row>
    <row r="141" spans="1:8">
      <c r="A141" s="220">
        <v>12037</v>
      </c>
      <c r="B141" s="221" t="s">
        <v>132</v>
      </c>
      <c r="C141" s="224">
        <v>196591</v>
      </c>
      <c r="D141" s="226">
        <v>2.0371E-3</v>
      </c>
      <c r="E141" s="146"/>
      <c r="F141" s="145"/>
      <c r="G141" s="125"/>
      <c r="H141" s="126"/>
    </row>
    <row r="142" spans="1:8">
      <c r="A142" s="218">
        <v>3150</v>
      </c>
      <c r="B142" s="219" t="s">
        <v>133</v>
      </c>
      <c r="C142" s="223">
        <v>367908</v>
      </c>
      <c r="D142" s="225">
        <v>3.8124000000000001E-3</v>
      </c>
      <c r="E142" s="146"/>
      <c r="F142" s="145"/>
      <c r="G142" s="125"/>
      <c r="H142" s="126"/>
    </row>
    <row r="143" spans="1:8">
      <c r="A143" s="220">
        <v>3160</v>
      </c>
      <c r="B143" s="221" t="s">
        <v>134</v>
      </c>
      <c r="C143" s="224">
        <v>92069</v>
      </c>
      <c r="D143" s="226">
        <v>9.5399999999999999E-4</v>
      </c>
      <c r="E143" s="146"/>
      <c r="F143" s="145"/>
      <c r="G143" s="125"/>
      <c r="H143" s="126"/>
    </row>
    <row r="144" spans="1:8">
      <c r="A144" s="218">
        <v>17334</v>
      </c>
      <c r="B144" s="219" t="s">
        <v>135</v>
      </c>
      <c r="C144" s="223">
        <v>2008</v>
      </c>
      <c r="D144" s="225">
        <v>2.0800000000000001E-5</v>
      </c>
      <c r="E144" s="146"/>
      <c r="F144" s="145"/>
      <c r="G144" s="125"/>
      <c r="H144" s="126"/>
    </row>
    <row r="145" spans="1:8">
      <c r="A145" s="220">
        <v>10120</v>
      </c>
      <c r="B145" s="221" t="s">
        <v>136</v>
      </c>
      <c r="C145" s="224">
        <v>45078</v>
      </c>
      <c r="D145" s="226">
        <v>4.6710000000000002E-4</v>
      </c>
      <c r="E145" s="146"/>
      <c r="F145" s="145"/>
      <c r="G145" s="125"/>
      <c r="H145" s="126"/>
    </row>
    <row r="146" spans="1:8">
      <c r="A146" s="218">
        <v>23070</v>
      </c>
      <c r="B146" s="219" t="s">
        <v>137</v>
      </c>
      <c r="C146" s="223">
        <v>76104</v>
      </c>
      <c r="D146" s="225">
        <v>7.8859999999999998E-4</v>
      </c>
      <c r="E146" s="146"/>
      <c r="F146" s="145"/>
      <c r="G146" s="125"/>
      <c r="H146" s="126"/>
    </row>
    <row r="147" spans="1:8">
      <c r="A147" s="220">
        <v>3170</v>
      </c>
      <c r="B147" s="221" t="s">
        <v>138</v>
      </c>
      <c r="C147" s="224">
        <v>876065</v>
      </c>
      <c r="D147" s="226">
        <v>9.0779999999999993E-3</v>
      </c>
      <c r="E147" s="146"/>
      <c r="F147" s="145"/>
      <c r="G147" s="125"/>
      <c r="H147" s="126"/>
    </row>
    <row r="148" spans="1:8">
      <c r="A148" s="218">
        <v>32093</v>
      </c>
      <c r="B148" s="219" t="s">
        <v>139</v>
      </c>
      <c r="C148" s="223">
        <v>574499</v>
      </c>
      <c r="D148" s="225">
        <v>5.9531000000000002E-3</v>
      </c>
      <c r="E148" s="146"/>
      <c r="F148" s="145"/>
      <c r="G148" s="125"/>
      <c r="H148" s="126"/>
    </row>
    <row r="149" spans="1:8">
      <c r="A149" s="220">
        <v>14045</v>
      </c>
      <c r="B149" s="221" t="s">
        <v>140</v>
      </c>
      <c r="C149" s="224">
        <v>1010086</v>
      </c>
      <c r="D149" s="226">
        <v>1.04668E-2</v>
      </c>
      <c r="E149" s="146"/>
      <c r="F149" s="145"/>
      <c r="G149" s="125"/>
      <c r="H149" s="126"/>
    </row>
    <row r="150" spans="1:8">
      <c r="A150" s="218">
        <v>2322</v>
      </c>
      <c r="B150" s="219" t="s">
        <v>141</v>
      </c>
      <c r="C150" s="223">
        <v>24028</v>
      </c>
      <c r="D150" s="225">
        <v>2.4899999999999998E-4</v>
      </c>
      <c r="E150" s="146"/>
      <c r="F150" s="145"/>
      <c r="G150" s="125"/>
      <c r="H150" s="126"/>
    </row>
    <row r="151" spans="1:8">
      <c r="A151" s="220">
        <v>3006</v>
      </c>
      <c r="B151" s="221" t="s">
        <v>142</v>
      </c>
      <c r="C151" s="224">
        <v>77113</v>
      </c>
      <c r="D151" s="226">
        <v>7.9909999999999996E-4</v>
      </c>
      <c r="E151" s="146"/>
      <c r="F151" s="145"/>
      <c r="G151" s="125"/>
      <c r="H151" s="126"/>
    </row>
    <row r="152" spans="1:8">
      <c r="A152" s="218">
        <v>6019</v>
      </c>
      <c r="B152" s="219" t="s">
        <v>143</v>
      </c>
      <c r="C152" s="223">
        <v>432186</v>
      </c>
      <c r="D152" s="225">
        <v>4.4783999999999996E-3</v>
      </c>
      <c r="E152" s="146"/>
      <c r="F152" s="145"/>
      <c r="G152" s="125"/>
      <c r="H152" s="126"/>
    </row>
    <row r="153" spans="1:8">
      <c r="A153" s="220">
        <v>12128</v>
      </c>
      <c r="B153" s="221" t="s">
        <v>144</v>
      </c>
      <c r="C153" s="224">
        <v>121064</v>
      </c>
      <c r="D153" s="226">
        <v>1.2545E-3</v>
      </c>
      <c r="E153" s="146"/>
      <c r="F153" s="145"/>
      <c r="G153" s="125"/>
      <c r="H153" s="126"/>
    </row>
    <row r="154" spans="1:8">
      <c r="A154" s="218">
        <v>3180</v>
      </c>
      <c r="B154" s="219" t="s">
        <v>145</v>
      </c>
      <c r="C154" s="223">
        <v>177751</v>
      </c>
      <c r="D154" s="225">
        <v>1.8419E-3</v>
      </c>
      <c r="E154" s="146"/>
      <c r="F154" s="145"/>
      <c r="G154" s="125"/>
      <c r="H154" s="126"/>
    </row>
    <row r="155" spans="1:8">
      <c r="A155" s="220">
        <v>25075</v>
      </c>
      <c r="B155" s="221" t="s">
        <v>146</v>
      </c>
      <c r="C155" s="224">
        <v>66927</v>
      </c>
      <c r="D155" s="226">
        <v>6.935E-4</v>
      </c>
      <c r="E155" s="146"/>
      <c r="F155" s="145"/>
      <c r="G155" s="125"/>
      <c r="H155" s="126"/>
    </row>
    <row r="156" spans="1:8">
      <c r="A156" s="218">
        <v>9028</v>
      </c>
      <c r="B156" s="219" t="s">
        <v>147</v>
      </c>
      <c r="C156" s="223">
        <v>29260</v>
      </c>
      <c r="D156" s="225">
        <v>3.032E-4</v>
      </c>
      <c r="E156" s="146"/>
      <c r="F156" s="145"/>
      <c r="G156" s="125"/>
      <c r="H156" s="126"/>
    </row>
    <row r="157" spans="1:8">
      <c r="A157" s="220">
        <v>17424</v>
      </c>
      <c r="B157" s="221" t="s">
        <v>148</v>
      </c>
      <c r="C157" s="224">
        <v>48725</v>
      </c>
      <c r="D157" s="226">
        <v>5.0489999999999997E-4</v>
      </c>
      <c r="E157" s="146"/>
      <c r="F157" s="145"/>
      <c r="G157" s="125"/>
      <c r="H157" s="126"/>
    </row>
    <row r="158" spans="1:8">
      <c r="A158" s="218">
        <v>3200</v>
      </c>
      <c r="B158" s="219" t="s">
        <v>149</v>
      </c>
      <c r="C158" s="223">
        <v>201357</v>
      </c>
      <c r="D158" s="225">
        <v>2.0864999999999998E-3</v>
      </c>
      <c r="E158" s="146"/>
      <c r="F158" s="145"/>
      <c r="G158" s="125"/>
      <c r="H158" s="126"/>
    </row>
    <row r="159" spans="1:8">
      <c r="A159" s="220">
        <v>2365</v>
      </c>
      <c r="B159" s="221" t="s">
        <v>150</v>
      </c>
      <c r="C159" s="224">
        <v>34940</v>
      </c>
      <c r="D159" s="226">
        <v>3.6210000000000002E-4</v>
      </c>
      <c r="E159" s="146"/>
      <c r="F159" s="145"/>
      <c r="G159" s="125"/>
      <c r="H159" s="126"/>
    </row>
    <row r="160" spans="1:8">
      <c r="A160" s="218">
        <v>5014</v>
      </c>
      <c r="B160" s="219" t="s">
        <v>151</v>
      </c>
      <c r="C160" s="223">
        <v>38867</v>
      </c>
      <c r="D160" s="225">
        <v>4.0279999999999998E-4</v>
      </c>
      <c r="E160" s="146"/>
      <c r="F160" s="145"/>
      <c r="G160" s="125"/>
      <c r="H160" s="126"/>
    </row>
    <row r="161" spans="1:8">
      <c r="A161" s="220">
        <v>17127</v>
      </c>
      <c r="B161" s="221" t="s">
        <v>152</v>
      </c>
      <c r="C161" s="224">
        <v>44738</v>
      </c>
      <c r="D161" s="226">
        <v>4.6359999999999999E-4</v>
      </c>
      <c r="E161" s="146"/>
      <c r="F161" s="145"/>
      <c r="G161" s="125"/>
      <c r="H161" s="126"/>
    </row>
    <row r="162" spans="1:8">
      <c r="A162" s="218">
        <v>10141</v>
      </c>
      <c r="B162" s="219" t="s">
        <v>153</v>
      </c>
      <c r="C162" s="223">
        <v>62966</v>
      </c>
      <c r="D162" s="225">
        <v>6.5249999999999998E-4</v>
      </c>
      <c r="E162" s="146"/>
      <c r="F162" s="145"/>
      <c r="G162" s="125"/>
      <c r="H162" s="126"/>
    </row>
    <row r="163" spans="1:8">
      <c r="A163" s="220">
        <v>4570</v>
      </c>
      <c r="B163" s="221" t="s">
        <v>413</v>
      </c>
      <c r="C163" s="224">
        <v>134969</v>
      </c>
      <c r="D163" s="226">
        <v>1.3986000000000001E-3</v>
      </c>
      <c r="E163" s="146"/>
      <c r="F163" s="145"/>
      <c r="G163" s="125"/>
      <c r="H163" s="126"/>
    </row>
    <row r="164" spans="1:8">
      <c r="A164" s="218">
        <v>13369</v>
      </c>
      <c r="B164" s="219" t="s">
        <v>154</v>
      </c>
      <c r="C164" s="223">
        <v>14500</v>
      </c>
      <c r="D164" s="225">
        <v>1.5029999999999999E-4</v>
      </c>
      <c r="E164" s="146"/>
      <c r="F164" s="145"/>
      <c r="G164" s="125"/>
      <c r="H164" s="126"/>
    </row>
    <row r="165" spans="1:8">
      <c r="A165" s="220">
        <v>2425</v>
      </c>
      <c r="B165" s="221" t="s">
        <v>155</v>
      </c>
      <c r="C165" s="224">
        <v>137180</v>
      </c>
      <c r="D165" s="226">
        <v>1.4215E-3</v>
      </c>
      <c r="E165" s="146"/>
      <c r="F165" s="145"/>
      <c r="G165" s="125"/>
      <c r="H165" s="126"/>
    </row>
    <row r="166" spans="1:8">
      <c r="A166" s="218">
        <v>1306</v>
      </c>
      <c r="B166" s="219" t="s">
        <v>156</v>
      </c>
      <c r="C166" s="223">
        <v>43604</v>
      </c>
      <c r="D166" s="225">
        <v>4.5179999999999998E-4</v>
      </c>
      <c r="E166" s="146"/>
      <c r="F166" s="145"/>
      <c r="G166" s="125"/>
      <c r="H166" s="126"/>
    </row>
    <row r="167" spans="1:8">
      <c r="A167" s="220">
        <v>2351</v>
      </c>
      <c r="B167" s="221" t="s">
        <v>157</v>
      </c>
      <c r="C167" s="224">
        <v>36809</v>
      </c>
      <c r="D167" s="226">
        <v>3.814E-4</v>
      </c>
      <c r="E167" s="146"/>
      <c r="F167" s="145"/>
      <c r="G167" s="125"/>
      <c r="H167" s="126"/>
    </row>
    <row r="168" spans="1:8">
      <c r="A168" s="218">
        <v>2334</v>
      </c>
      <c r="B168" s="219" t="s">
        <v>158</v>
      </c>
      <c r="C168" s="223">
        <v>27052</v>
      </c>
      <c r="D168" s="225">
        <v>2.8029999999999998E-4</v>
      </c>
      <c r="E168" s="146"/>
      <c r="F168" s="145"/>
      <c r="G168" s="125"/>
      <c r="H168" s="126"/>
    </row>
    <row r="169" spans="1:8">
      <c r="A169" s="220">
        <v>30089</v>
      </c>
      <c r="B169" s="221" t="s">
        <v>159</v>
      </c>
      <c r="C169" s="224">
        <v>81414</v>
      </c>
      <c r="D169" s="226">
        <v>8.4360000000000001E-4</v>
      </c>
      <c r="E169" s="146"/>
      <c r="F169" s="145"/>
      <c r="G169" s="125"/>
      <c r="H169" s="126"/>
    </row>
    <row r="170" spans="1:8">
      <c r="A170" s="218">
        <v>9324</v>
      </c>
      <c r="B170" s="219" t="s">
        <v>160</v>
      </c>
      <c r="C170" s="223">
        <v>11044</v>
      </c>
      <c r="D170" s="225">
        <v>1.144E-4</v>
      </c>
      <c r="E170" s="146"/>
      <c r="F170" s="145"/>
      <c r="G170" s="125"/>
      <c r="H170" s="126"/>
    </row>
    <row r="171" spans="1:8">
      <c r="A171" s="220">
        <v>22066</v>
      </c>
      <c r="B171" s="221" t="s">
        <v>161</v>
      </c>
      <c r="C171" s="224">
        <v>294497</v>
      </c>
      <c r="D171" s="226">
        <v>3.0517000000000001E-3</v>
      </c>
      <c r="E171" s="146"/>
      <c r="F171" s="145"/>
      <c r="G171" s="125"/>
      <c r="H171" s="126"/>
    </row>
    <row r="172" spans="1:8">
      <c r="A172" s="218">
        <v>16356</v>
      </c>
      <c r="B172" s="219" t="s">
        <v>162</v>
      </c>
      <c r="C172" s="223">
        <v>17658</v>
      </c>
      <c r="D172" s="225">
        <v>1.83E-4</v>
      </c>
      <c r="E172" s="146"/>
      <c r="F172" s="145"/>
      <c r="G172" s="125"/>
      <c r="H172" s="126"/>
    </row>
    <row r="173" spans="1:8">
      <c r="A173" s="220">
        <v>31091</v>
      </c>
      <c r="B173" s="221" t="s">
        <v>163</v>
      </c>
      <c r="C173" s="224">
        <v>14268</v>
      </c>
      <c r="D173" s="226">
        <v>1.4779999999999999E-4</v>
      </c>
      <c r="E173" s="146"/>
      <c r="F173" s="145"/>
      <c r="G173" s="125"/>
      <c r="H173" s="126"/>
    </row>
    <row r="174" spans="1:8">
      <c r="A174" s="218">
        <v>2342</v>
      </c>
      <c r="B174" s="219" t="s">
        <v>164</v>
      </c>
      <c r="C174" s="223">
        <v>24511</v>
      </c>
      <c r="D174" s="225">
        <v>2.5399999999999999E-4</v>
      </c>
      <c r="E174" s="146"/>
      <c r="F174" s="145"/>
      <c r="G174" s="125"/>
      <c r="H174" s="126"/>
    </row>
    <row r="175" spans="1:8">
      <c r="A175" s="220">
        <v>22067</v>
      </c>
      <c r="B175" s="221" t="s">
        <v>165</v>
      </c>
      <c r="C175" s="224">
        <v>47960</v>
      </c>
      <c r="D175" s="226">
        <v>4.9700000000000005E-4</v>
      </c>
      <c r="E175" s="146"/>
      <c r="F175" s="145"/>
      <c r="G175" s="125"/>
      <c r="H175" s="126"/>
    </row>
    <row r="176" spans="1:8">
      <c r="A176" s="218">
        <v>32112</v>
      </c>
      <c r="B176" s="219" t="s">
        <v>166</v>
      </c>
      <c r="C176" s="223">
        <v>23926</v>
      </c>
      <c r="D176" s="225">
        <v>2.4790000000000001E-4</v>
      </c>
      <c r="E176" s="146"/>
      <c r="F176" s="145"/>
      <c r="G176" s="125"/>
      <c r="H176" s="126"/>
    </row>
    <row r="177" spans="1:8">
      <c r="A177" s="220">
        <v>2354</v>
      </c>
      <c r="B177" s="221" t="s">
        <v>167</v>
      </c>
      <c r="C177" s="224">
        <v>65857</v>
      </c>
      <c r="D177" s="226">
        <v>6.824E-4</v>
      </c>
      <c r="E177" s="146"/>
      <c r="F177" s="145"/>
      <c r="G177" s="125"/>
      <c r="H177" s="126"/>
    </row>
    <row r="178" spans="1:8">
      <c r="A178" s="218">
        <v>2148</v>
      </c>
      <c r="B178" s="219" t="s">
        <v>168</v>
      </c>
      <c r="C178" s="223">
        <v>23392</v>
      </c>
      <c r="D178" s="225">
        <v>2.4240000000000001E-4</v>
      </c>
      <c r="E178" s="146"/>
      <c r="F178" s="145"/>
      <c r="G178" s="125"/>
      <c r="H178" s="126"/>
    </row>
    <row r="179" spans="1:8">
      <c r="A179" s="220">
        <v>1418</v>
      </c>
      <c r="B179" s="221" t="s">
        <v>169</v>
      </c>
      <c r="C179" s="224">
        <v>65137</v>
      </c>
      <c r="D179" s="226">
        <v>6.7500000000000004E-4</v>
      </c>
      <c r="E179" s="146"/>
      <c r="F179" s="145"/>
      <c r="G179" s="125"/>
      <c r="H179" s="126"/>
    </row>
    <row r="180" spans="1:8">
      <c r="A180" s="218">
        <v>12102</v>
      </c>
      <c r="B180" s="219" t="s">
        <v>170</v>
      </c>
      <c r="C180" s="223">
        <v>474703</v>
      </c>
      <c r="D180" s="225">
        <v>4.9189999999999998E-3</v>
      </c>
      <c r="E180" s="146"/>
      <c r="F180" s="145"/>
      <c r="G180" s="125"/>
      <c r="H180" s="126"/>
    </row>
    <row r="181" spans="1:8">
      <c r="A181" s="220">
        <v>2414</v>
      </c>
      <c r="B181" s="221" t="s">
        <v>171</v>
      </c>
      <c r="C181" s="224">
        <v>34036</v>
      </c>
      <c r="D181" s="226">
        <v>3.5270000000000001E-4</v>
      </c>
      <c r="E181" s="146"/>
      <c r="F181" s="145"/>
      <c r="G181" s="125"/>
      <c r="H181" s="126"/>
    </row>
    <row r="182" spans="1:8">
      <c r="A182" s="218">
        <v>6124</v>
      </c>
      <c r="B182" s="219" t="s">
        <v>172</v>
      </c>
      <c r="C182" s="223">
        <v>256419</v>
      </c>
      <c r="D182" s="225">
        <v>2.6570999999999999E-3</v>
      </c>
      <c r="E182" s="146"/>
      <c r="F182" s="145"/>
      <c r="G182" s="125"/>
      <c r="H182" s="126"/>
    </row>
    <row r="183" spans="1:8">
      <c r="A183" s="220">
        <v>4097</v>
      </c>
      <c r="B183" s="221" t="s">
        <v>173</v>
      </c>
      <c r="C183" s="224">
        <v>287174</v>
      </c>
      <c r="D183" s="226">
        <v>2.9757999999999998E-3</v>
      </c>
      <c r="E183" s="146"/>
      <c r="F183" s="145"/>
      <c r="G183" s="125"/>
      <c r="H183" s="126"/>
    </row>
    <row r="184" spans="1:8">
      <c r="A184" s="218">
        <v>1416</v>
      </c>
      <c r="B184" s="219" t="s">
        <v>174</v>
      </c>
      <c r="C184" s="223">
        <v>31885</v>
      </c>
      <c r="D184" s="225">
        <v>3.3040000000000001E-4</v>
      </c>
      <c r="E184" s="146"/>
      <c r="F184" s="145"/>
      <c r="G184" s="125"/>
      <c r="H184" s="126"/>
    </row>
    <row r="185" spans="1:8">
      <c r="A185" s="220">
        <v>1094</v>
      </c>
      <c r="B185" s="221" t="s">
        <v>175</v>
      </c>
      <c r="C185" s="224">
        <v>225262</v>
      </c>
      <c r="D185" s="226">
        <v>2.3341999999999998E-3</v>
      </c>
      <c r="E185" s="146"/>
      <c r="F185" s="145"/>
      <c r="G185" s="125"/>
      <c r="H185" s="126"/>
    </row>
    <row r="186" spans="1:8">
      <c r="A186" s="218">
        <v>32111</v>
      </c>
      <c r="B186" s="219" t="s">
        <v>176</v>
      </c>
      <c r="C186" s="223">
        <v>202604</v>
      </c>
      <c r="D186" s="225">
        <v>2.0994E-3</v>
      </c>
      <c r="E186" s="146"/>
      <c r="F186" s="145"/>
      <c r="G186" s="125"/>
      <c r="H186" s="126"/>
    </row>
    <row r="187" spans="1:8">
      <c r="A187" s="220">
        <v>2520</v>
      </c>
      <c r="B187" s="221" t="s">
        <v>177</v>
      </c>
      <c r="C187" s="224">
        <v>23405</v>
      </c>
      <c r="D187" s="226">
        <v>2.4250000000000001E-4</v>
      </c>
      <c r="E187" s="146"/>
      <c r="F187" s="145"/>
      <c r="G187" s="125"/>
      <c r="H187" s="126"/>
    </row>
    <row r="188" spans="1:8">
      <c r="A188" s="218">
        <v>3450</v>
      </c>
      <c r="B188" s="219" t="s">
        <v>178</v>
      </c>
      <c r="C188" s="223">
        <v>54649</v>
      </c>
      <c r="D188" s="225">
        <v>5.6630000000000005E-4</v>
      </c>
      <c r="E188" s="146"/>
      <c r="F188" s="145"/>
      <c r="G188" s="125"/>
      <c r="H188" s="126"/>
    </row>
    <row r="189" spans="1:8">
      <c r="A189" s="220">
        <v>4310</v>
      </c>
      <c r="B189" s="221" t="s">
        <v>179</v>
      </c>
      <c r="C189" s="224">
        <v>33622</v>
      </c>
      <c r="D189" s="226">
        <v>3.4840000000000001E-4</v>
      </c>
      <c r="E189" s="146"/>
      <c r="F189" s="145"/>
      <c r="G189" s="125"/>
      <c r="H189" s="126"/>
    </row>
    <row r="190" spans="1:8">
      <c r="A190" s="218">
        <v>2328</v>
      </c>
      <c r="B190" s="219" t="s">
        <v>180</v>
      </c>
      <c r="C190" s="223">
        <v>48528</v>
      </c>
      <c r="D190" s="225">
        <v>5.0290000000000003E-4</v>
      </c>
      <c r="E190" s="146"/>
      <c r="F190" s="145"/>
      <c r="G190" s="125"/>
      <c r="H190" s="126"/>
    </row>
    <row r="191" spans="1:8">
      <c r="A191" s="220">
        <v>12151</v>
      </c>
      <c r="B191" s="221" t="s">
        <v>181</v>
      </c>
      <c r="C191" s="224">
        <v>15960</v>
      </c>
      <c r="D191" s="226">
        <v>1.6540000000000001E-4</v>
      </c>
      <c r="E191" s="146"/>
      <c r="F191" s="145"/>
      <c r="G191" s="125"/>
      <c r="H191" s="126"/>
    </row>
    <row r="192" spans="1:8">
      <c r="A192" s="218">
        <v>32110</v>
      </c>
      <c r="B192" s="219" t="s">
        <v>182</v>
      </c>
      <c r="C192" s="223">
        <v>183235</v>
      </c>
      <c r="D192" s="225">
        <v>1.8986999999999999E-3</v>
      </c>
      <c r="E192" s="146"/>
      <c r="F192" s="145"/>
      <c r="G192" s="125"/>
      <c r="H192" s="126"/>
    </row>
    <row r="193" spans="1:8">
      <c r="A193" s="220">
        <v>4215</v>
      </c>
      <c r="B193" s="221" t="s">
        <v>183</v>
      </c>
      <c r="C193" s="224">
        <v>6945</v>
      </c>
      <c r="D193" s="226">
        <v>7.2000000000000002E-5</v>
      </c>
      <c r="E193" s="146"/>
      <c r="F193" s="145"/>
      <c r="G193" s="125"/>
      <c r="H193" s="126"/>
    </row>
    <row r="194" spans="1:8">
      <c r="A194" s="218">
        <v>2870</v>
      </c>
      <c r="B194" s="219" t="s">
        <v>184</v>
      </c>
      <c r="C194" s="223">
        <v>30817</v>
      </c>
      <c r="D194" s="225">
        <v>3.1930000000000001E-4</v>
      </c>
      <c r="E194" s="146"/>
      <c r="F194" s="145"/>
      <c r="G194" s="125"/>
      <c r="H194" s="126"/>
    </row>
    <row r="195" spans="1:8">
      <c r="A195" s="220">
        <v>29150</v>
      </c>
      <c r="B195" s="249" t="s">
        <v>185</v>
      </c>
      <c r="C195" s="250">
        <v>10777</v>
      </c>
      <c r="D195" s="251">
        <v>1.117E-4</v>
      </c>
      <c r="E195" s="146"/>
      <c r="F195" s="145"/>
      <c r="G195" s="125"/>
      <c r="H195" s="126"/>
    </row>
    <row r="196" spans="1:8">
      <c r="A196" s="218">
        <v>2311</v>
      </c>
      <c r="B196" s="219" t="s">
        <v>186</v>
      </c>
      <c r="C196" s="223">
        <v>29019</v>
      </c>
      <c r="D196" s="225">
        <v>3.0069999999999999E-4</v>
      </c>
      <c r="E196" s="146"/>
      <c r="F196" s="145"/>
      <c r="G196" s="125"/>
      <c r="H196" s="126"/>
    </row>
    <row r="197" spans="1:8">
      <c r="A197" s="220">
        <v>32118</v>
      </c>
      <c r="B197" s="221" t="s">
        <v>187</v>
      </c>
      <c r="C197" s="224">
        <v>48093</v>
      </c>
      <c r="D197" s="226">
        <v>4.9839999999999997E-4</v>
      </c>
      <c r="E197" s="146"/>
      <c r="F197" s="145"/>
      <c r="G197" s="125"/>
      <c r="H197" s="126"/>
    </row>
    <row r="198" spans="1:8">
      <c r="A198" s="218">
        <v>12039</v>
      </c>
      <c r="B198" s="219" t="s">
        <v>188</v>
      </c>
      <c r="C198" s="223">
        <v>88876</v>
      </c>
      <c r="D198" s="225">
        <v>9.2100000000000005E-4</v>
      </c>
      <c r="E198" s="146"/>
      <c r="F198" s="145"/>
      <c r="G198" s="125"/>
      <c r="H198" s="126"/>
    </row>
    <row r="199" spans="1:8">
      <c r="A199" s="220">
        <v>12150</v>
      </c>
      <c r="B199" s="221" t="s">
        <v>189</v>
      </c>
      <c r="C199" s="224">
        <v>18234</v>
      </c>
      <c r="D199" s="226">
        <v>1.8890000000000001E-4</v>
      </c>
      <c r="E199" s="146"/>
      <c r="F199" s="145"/>
      <c r="G199" s="125"/>
      <c r="H199" s="126"/>
    </row>
    <row r="200" spans="1:8">
      <c r="A200" s="218">
        <v>20060</v>
      </c>
      <c r="B200" s="219" t="s">
        <v>190</v>
      </c>
      <c r="C200" s="223">
        <v>62832</v>
      </c>
      <c r="D200" s="225">
        <v>6.5110000000000005E-4</v>
      </c>
      <c r="E200" s="146"/>
      <c r="F200" s="145"/>
      <c r="G200" s="125"/>
      <c r="H200" s="126"/>
    </row>
    <row r="201" spans="1:8">
      <c r="A201" s="220">
        <v>1001</v>
      </c>
      <c r="B201" s="221" t="s">
        <v>191</v>
      </c>
      <c r="C201" s="224">
        <v>215323</v>
      </c>
      <c r="D201" s="226">
        <v>2.2312E-3</v>
      </c>
      <c r="E201" s="146"/>
      <c r="F201" s="145"/>
      <c r="G201" s="125"/>
      <c r="H201" s="126"/>
    </row>
    <row r="202" spans="1:8">
      <c r="A202" s="218">
        <v>11035</v>
      </c>
      <c r="B202" s="219" t="s">
        <v>192</v>
      </c>
      <c r="C202" s="223">
        <v>370605</v>
      </c>
      <c r="D202" s="225">
        <v>3.8403000000000001E-3</v>
      </c>
      <c r="E202" s="146"/>
      <c r="F202" s="145"/>
      <c r="G202" s="125"/>
      <c r="H202" s="126"/>
    </row>
    <row r="203" spans="1:8">
      <c r="A203" s="220">
        <v>2320</v>
      </c>
      <c r="B203" s="221" t="s">
        <v>193</v>
      </c>
      <c r="C203" s="224">
        <v>45674</v>
      </c>
      <c r="D203" s="226">
        <v>4.7330000000000001E-4</v>
      </c>
      <c r="E203" s="146"/>
      <c r="F203" s="145"/>
      <c r="G203" s="125"/>
      <c r="H203" s="126"/>
    </row>
    <row r="204" spans="1:8">
      <c r="A204" s="218">
        <v>28084</v>
      </c>
      <c r="B204" s="219" t="s">
        <v>194</v>
      </c>
      <c r="C204" s="223">
        <v>35136</v>
      </c>
      <c r="D204" s="225">
        <v>3.6410000000000001E-4</v>
      </c>
      <c r="E204" s="146"/>
      <c r="F204" s="145"/>
      <c r="G204" s="125"/>
      <c r="H204" s="126"/>
    </row>
    <row r="205" spans="1:8">
      <c r="A205" s="220">
        <v>20125</v>
      </c>
      <c r="B205" s="221" t="s">
        <v>195</v>
      </c>
      <c r="C205" s="224">
        <v>50515</v>
      </c>
      <c r="D205" s="226">
        <v>5.2349999999999999E-4</v>
      </c>
      <c r="E205" s="146"/>
      <c r="F205" s="145"/>
      <c r="G205" s="125"/>
      <c r="H205" s="126"/>
    </row>
    <row r="206" spans="1:8">
      <c r="A206" s="218">
        <v>7445</v>
      </c>
      <c r="B206" s="219" t="s">
        <v>430</v>
      </c>
      <c r="C206" s="223">
        <v>5073</v>
      </c>
      <c r="D206" s="225">
        <v>5.2599999999999998E-5</v>
      </c>
      <c r="E206" s="146"/>
      <c r="F206" s="145"/>
      <c r="G206" s="125"/>
      <c r="H206" s="126"/>
    </row>
    <row r="207" spans="1:8">
      <c r="A207" s="220">
        <v>4170</v>
      </c>
      <c r="B207" s="221" t="s">
        <v>196</v>
      </c>
      <c r="C207" s="224">
        <v>7297</v>
      </c>
      <c r="D207" s="226">
        <v>7.5599999999999994E-5</v>
      </c>
      <c r="E207" s="146"/>
      <c r="F207" s="145"/>
      <c r="G207" s="125"/>
      <c r="H207" s="126"/>
    </row>
    <row r="208" spans="1:8">
      <c r="A208" s="218">
        <v>9029</v>
      </c>
      <c r="B208" s="219" t="s">
        <v>197</v>
      </c>
      <c r="C208" s="223">
        <v>112804</v>
      </c>
      <c r="D208" s="225">
        <v>1.1689000000000001E-3</v>
      </c>
      <c r="E208" s="146"/>
      <c r="F208" s="145"/>
      <c r="G208" s="125"/>
      <c r="H208" s="126"/>
    </row>
    <row r="209" spans="1:8">
      <c r="A209" s="220">
        <v>2580</v>
      </c>
      <c r="B209" s="221" t="s">
        <v>198</v>
      </c>
      <c r="C209" s="224">
        <v>16810</v>
      </c>
      <c r="D209" s="226">
        <v>1.7420000000000001E-4</v>
      </c>
      <c r="E209" s="146"/>
      <c r="F209" s="145"/>
      <c r="G209" s="125"/>
      <c r="H209" s="126"/>
    </row>
    <row r="210" spans="1:8">
      <c r="A210" s="218">
        <v>20312</v>
      </c>
      <c r="B210" s="219" t="s">
        <v>199</v>
      </c>
      <c r="C210" s="223">
        <v>11293</v>
      </c>
      <c r="D210" s="225">
        <v>1.17E-4</v>
      </c>
      <c r="E210" s="146"/>
      <c r="F210" s="145"/>
      <c r="G210" s="125"/>
      <c r="H210" s="126"/>
    </row>
    <row r="211" spans="1:8">
      <c r="A211" s="220">
        <v>26150</v>
      </c>
      <c r="B211" s="221" t="s">
        <v>200</v>
      </c>
      <c r="C211" s="224">
        <v>83656</v>
      </c>
      <c r="D211" s="226">
        <v>8.6689999999999998E-4</v>
      </c>
      <c r="E211" s="146"/>
      <c r="F211" s="145"/>
      <c r="G211" s="125"/>
      <c r="H211" s="126"/>
    </row>
    <row r="212" spans="1:8">
      <c r="A212" s="218">
        <v>5016</v>
      </c>
      <c r="B212" s="219" t="s">
        <v>201</v>
      </c>
      <c r="C212" s="223">
        <v>9467</v>
      </c>
      <c r="D212" s="225">
        <v>9.8099999999999999E-5</v>
      </c>
      <c r="E212" s="146"/>
      <c r="F212" s="145"/>
      <c r="G212" s="125"/>
      <c r="H212" s="126"/>
    </row>
    <row r="213" spans="1:8">
      <c r="A213" s="220">
        <v>6150</v>
      </c>
      <c r="B213" s="221" t="s">
        <v>202</v>
      </c>
      <c r="C213" s="224">
        <v>8839</v>
      </c>
      <c r="D213" s="226">
        <v>9.1600000000000004E-5</v>
      </c>
      <c r="E213" s="146"/>
      <c r="F213" s="145"/>
      <c r="G213" s="125"/>
      <c r="H213" s="126"/>
    </row>
    <row r="214" spans="1:8">
      <c r="A214" s="218">
        <v>4480</v>
      </c>
      <c r="B214" s="219" t="s">
        <v>203</v>
      </c>
      <c r="C214" s="223">
        <v>18118</v>
      </c>
      <c r="D214" s="225">
        <v>1.8770000000000001E-4</v>
      </c>
      <c r="E214" s="146"/>
      <c r="F214" s="145"/>
      <c r="G214" s="125"/>
      <c r="H214" s="126"/>
    </row>
    <row r="215" spans="1:8">
      <c r="A215" s="220">
        <v>28085</v>
      </c>
      <c r="B215" s="221" t="s">
        <v>204</v>
      </c>
      <c r="C215" s="224">
        <v>31896</v>
      </c>
      <c r="D215" s="226">
        <v>3.3050000000000001E-4</v>
      </c>
      <c r="E215" s="146"/>
      <c r="F215" s="145"/>
      <c r="G215" s="125"/>
      <c r="H215" s="126"/>
    </row>
    <row r="216" spans="1:8">
      <c r="A216" s="218">
        <v>3240</v>
      </c>
      <c r="B216" s="219" t="s">
        <v>205</v>
      </c>
      <c r="C216" s="223">
        <v>190912</v>
      </c>
      <c r="D216" s="225">
        <v>1.9783000000000001E-3</v>
      </c>
      <c r="E216" s="146"/>
      <c r="F216" s="145"/>
      <c r="G216" s="125"/>
      <c r="H216" s="126"/>
    </row>
    <row r="217" spans="1:8">
      <c r="A217" s="220">
        <v>12326</v>
      </c>
      <c r="B217" s="221" t="s">
        <v>206</v>
      </c>
      <c r="C217" s="224">
        <v>11269</v>
      </c>
      <c r="D217" s="226">
        <v>1.1680000000000001E-4</v>
      </c>
      <c r="E217" s="146"/>
      <c r="F217" s="145"/>
      <c r="G217" s="125"/>
      <c r="H217" s="126"/>
    </row>
    <row r="218" spans="1:8">
      <c r="A218" s="218">
        <v>29123</v>
      </c>
      <c r="B218" s="219" t="s">
        <v>207</v>
      </c>
      <c r="C218" s="223">
        <v>2213654</v>
      </c>
      <c r="D218" s="225">
        <v>2.2938500000000001E-2</v>
      </c>
      <c r="E218" s="146"/>
      <c r="F218" s="145"/>
      <c r="G218" s="125"/>
      <c r="H218" s="126"/>
    </row>
    <row r="219" spans="1:8">
      <c r="A219" s="220">
        <v>2318</v>
      </c>
      <c r="B219" s="221" t="s">
        <v>208</v>
      </c>
      <c r="C219" s="224">
        <v>47896</v>
      </c>
      <c r="D219" s="226">
        <v>4.9629999999999997E-4</v>
      </c>
      <c r="E219" s="146"/>
      <c r="F219" s="145"/>
      <c r="G219" s="125"/>
      <c r="H219" s="126"/>
    </row>
    <row r="220" spans="1:8">
      <c r="A220" s="218">
        <v>3250</v>
      </c>
      <c r="B220" s="219" t="s">
        <v>209</v>
      </c>
      <c r="C220" s="223">
        <v>68330</v>
      </c>
      <c r="D220" s="225">
        <v>7.0810000000000003E-4</v>
      </c>
      <c r="E220" s="146"/>
      <c r="F220" s="145"/>
      <c r="G220" s="125"/>
      <c r="H220" s="126"/>
    </row>
    <row r="221" spans="1:8">
      <c r="A221" s="220">
        <v>2313</v>
      </c>
      <c r="B221" s="221" t="s">
        <v>210</v>
      </c>
      <c r="C221" s="224">
        <v>6300</v>
      </c>
      <c r="D221" s="226">
        <v>6.5300000000000002E-5</v>
      </c>
      <c r="E221" s="146"/>
      <c r="F221" s="145"/>
      <c r="G221" s="125"/>
      <c r="H221" s="126"/>
    </row>
    <row r="222" spans="1:8">
      <c r="A222" s="218">
        <v>4011</v>
      </c>
      <c r="B222" s="219" t="s">
        <v>211</v>
      </c>
      <c r="C222" s="223">
        <v>1195590</v>
      </c>
      <c r="D222" s="225">
        <v>1.2389000000000001E-2</v>
      </c>
      <c r="E222" s="146"/>
      <c r="F222" s="145"/>
      <c r="G222" s="125"/>
      <c r="H222" s="126"/>
    </row>
    <row r="223" spans="1:8">
      <c r="A223" s="220">
        <v>31092</v>
      </c>
      <c r="B223" s="221" t="s">
        <v>212</v>
      </c>
      <c r="C223" s="224">
        <v>18865</v>
      </c>
      <c r="D223" s="226">
        <v>1.9550000000000001E-4</v>
      </c>
      <c r="E223" s="146"/>
      <c r="F223" s="145"/>
      <c r="G223" s="125"/>
      <c r="H223" s="126"/>
    </row>
    <row r="224" spans="1:8">
      <c r="A224" s="218">
        <v>26081</v>
      </c>
      <c r="B224" s="219" t="s">
        <v>213</v>
      </c>
      <c r="C224" s="223">
        <v>223604</v>
      </c>
      <c r="D224" s="225">
        <v>2.317E-3</v>
      </c>
      <c r="E224" s="146"/>
      <c r="F224" s="145"/>
      <c r="G224" s="125"/>
      <c r="H224" s="126"/>
    </row>
    <row r="225" spans="1:8">
      <c r="A225" s="220">
        <v>29305</v>
      </c>
      <c r="B225" s="221" t="s">
        <v>214</v>
      </c>
      <c r="C225" s="224">
        <v>18747</v>
      </c>
      <c r="D225" s="226">
        <v>1.9430000000000001E-4</v>
      </c>
      <c r="E225" s="146"/>
      <c r="F225" s="145"/>
      <c r="G225" s="125"/>
      <c r="H225" s="126"/>
    </row>
    <row r="226" spans="1:8">
      <c r="A226" s="218">
        <v>10032</v>
      </c>
      <c r="B226" s="219" t="s">
        <v>215</v>
      </c>
      <c r="C226" s="223">
        <v>25271</v>
      </c>
      <c r="D226" s="225">
        <v>2.6190000000000002E-4</v>
      </c>
      <c r="E226" s="146"/>
      <c r="F226" s="145"/>
      <c r="G226" s="125"/>
      <c r="H226" s="126"/>
    </row>
    <row r="227" spans="1:8">
      <c r="A227" s="220">
        <v>32107</v>
      </c>
      <c r="B227" s="221" t="s">
        <v>216</v>
      </c>
      <c r="C227" s="224">
        <v>32744</v>
      </c>
      <c r="D227" s="226">
        <v>3.3930000000000001E-4</v>
      </c>
      <c r="E227" s="146"/>
      <c r="F227" s="145"/>
      <c r="G227" s="125"/>
      <c r="H227" s="126"/>
    </row>
    <row r="228" spans="1:8">
      <c r="A228" s="218">
        <v>3260</v>
      </c>
      <c r="B228" s="219" t="s">
        <v>217</v>
      </c>
      <c r="C228" s="223">
        <v>607037</v>
      </c>
      <c r="D228" s="225">
        <v>6.2903000000000004E-3</v>
      </c>
      <c r="E228" s="146"/>
      <c r="F228" s="145"/>
      <c r="G228" s="125"/>
      <c r="H228" s="126"/>
    </row>
    <row r="229" spans="1:8">
      <c r="A229" s="220">
        <v>4390</v>
      </c>
      <c r="B229" s="221" t="s">
        <v>218</v>
      </c>
      <c r="C229" s="224">
        <v>5507</v>
      </c>
      <c r="D229" s="226">
        <v>5.7099999999999999E-5</v>
      </c>
      <c r="E229" s="146"/>
      <c r="F229" s="145"/>
      <c r="G229" s="125"/>
      <c r="H229" s="126"/>
    </row>
    <row r="230" spans="1:8">
      <c r="A230" s="218">
        <v>3270</v>
      </c>
      <c r="B230" s="219" t="s">
        <v>219</v>
      </c>
      <c r="C230" s="223">
        <v>87417</v>
      </c>
      <c r="D230" s="225">
        <v>9.0580000000000001E-4</v>
      </c>
      <c r="E230" s="146"/>
      <c r="F230" s="145"/>
      <c r="G230" s="125"/>
      <c r="H230" s="126"/>
    </row>
    <row r="231" spans="1:8">
      <c r="A231" s="220">
        <v>29303</v>
      </c>
      <c r="B231" s="221" t="s">
        <v>220</v>
      </c>
      <c r="C231" s="224">
        <v>17162</v>
      </c>
      <c r="D231" s="226">
        <v>1.7780000000000001E-4</v>
      </c>
      <c r="E231" s="146"/>
      <c r="F231" s="145"/>
      <c r="G231" s="125"/>
      <c r="H231" s="126"/>
    </row>
    <row r="232" spans="1:8">
      <c r="A232" s="218">
        <v>3280</v>
      </c>
      <c r="B232" s="219" t="s">
        <v>221</v>
      </c>
      <c r="C232" s="223">
        <v>390579</v>
      </c>
      <c r="D232" s="225">
        <v>4.0473000000000002E-3</v>
      </c>
      <c r="E232" s="146"/>
      <c r="F232" s="145"/>
      <c r="G232" s="125"/>
      <c r="H232" s="126"/>
    </row>
    <row r="233" spans="1:8">
      <c r="A233" s="220">
        <v>4260</v>
      </c>
      <c r="B233" s="221" t="s">
        <v>222</v>
      </c>
      <c r="C233" s="224">
        <v>31879</v>
      </c>
      <c r="D233" s="226">
        <v>3.3030000000000001E-4</v>
      </c>
      <c r="E233" s="146"/>
      <c r="F233" s="145"/>
      <c r="G233" s="125"/>
      <c r="H233" s="126"/>
    </row>
    <row r="234" spans="1:8">
      <c r="A234" s="218">
        <v>1003</v>
      </c>
      <c r="B234" s="219" t="s">
        <v>223</v>
      </c>
      <c r="C234" s="223">
        <v>457325</v>
      </c>
      <c r="D234" s="225">
        <v>4.7388999999999999E-3</v>
      </c>
      <c r="E234" s="146"/>
      <c r="F234" s="145"/>
      <c r="G234" s="125"/>
      <c r="H234" s="126"/>
    </row>
    <row r="235" spans="1:8">
      <c r="A235" s="220">
        <v>3290</v>
      </c>
      <c r="B235" s="221" t="s">
        <v>224</v>
      </c>
      <c r="C235" s="224">
        <v>929480</v>
      </c>
      <c r="D235" s="226">
        <v>9.6314999999999994E-3</v>
      </c>
      <c r="E235" s="146"/>
      <c r="F235" s="145"/>
      <c r="G235" s="125"/>
      <c r="H235" s="126"/>
    </row>
    <row r="236" spans="1:8">
      <c r="A236" s="218">
        <v>1002</v>
      </c>
      <c r="B236" s="219" t="s">
        <v>225</v>
      </c>
      <c r="C236" s="223">
        <v>1725048</v>
      </c>
      <c r="D236" s="225">
        <v>1.78754E-2</v>
      </c>
      <c r="E236" s="146"/>
      <c r="F236" s="145"/>
      <c r="G236" s="125"/>
      <c r="H236" s="126"/>
    </row>
    <row r="237" spans="1:8">
      <c r="A237" s="220">
        <v>24072</v>
      </c>
      <c r="B237" s="221" t="s">
        <v>226</v>
      </c>
      <c r="C237" s="224">
        <v>106872</v>
      </c>
      <c r="D237" s="226">
        <v>1.1073999999999999E-3</v>
      </c>
      <c r="E237" s="146"/>
      <c r="F237" s="145"/>
      <c r="G237" s="125"/>
      <c r="H237" s="126"/>
    </row>
    <row r="238" spans="1:8">
      <c r="A238" s="218">
        <v>14366</v>
      </c>
      <c r="B238" s="219" t="s">
        <v>227</v>
      </c>
      <c r="C238" s="223">
        <v>54340</v>
      </c>
      <c r="D238" s="225">
        <v>5.6309999999999997E-4</v>
      </c>
      <c r="E238" s="146"/>
      <c r="F238" s="145"/>
      <c r="G238" s="125"/>
      <c r="H238" s="126"/>
    </row>
    <row r="239" spans="1:8">
      <c r="A239" s="220">
        <v>4317</v>
      </c>
      <c r="B239" s="221" t="s">
        <v>228</v>
      </c>
      <c r="C239" s="224">
        <v>8030</v>
      </c>
      <c r="D239" s="226">
        <v>8.3200000000000003E-5</v>
      </c>
      <c r="E239" s="146"/>
      <c r="F239" s="145"/>
      <c r="G239" s="125"/>
      <c r="H239" s="126"/>
    </row>
    <row r="240" spans="1:8">
      <c r="A240" s="218">
        <v>32120</v>
      </c>
      <c r="B240" s="219" t="s">
        <v>229</v>
      </c>
      <c r="C240" s="223">
        <v>21474</v>
      </c>
      <c r="D240" s="225">
        <v>2.2249999999999999E-4</v>
      </c>
      <c r="E240" s="146"/>
      <c r="F240" s="145"/>
      <c r="G240" s="125"/>
      <c r="H240" s="126"/>
    </row>
    <row r="241" spans="1:8">
      <c r="A241" s="220">
        <v>3300</v>
      </c>
      <c r="B241" s="221" t="s">
        <v>230</v>
      </c>
      <c r="C241" s="224">
        <v>62073</v>
      </c>
      <c r="D241" s="226">
        <v>6.4320000000000002E-4</v>
      </c>
      <c r="E241" s="146"/>
      <c r="F241" s="145"/>
      <c r="G241" s="125"/>
      <c r="H241" s="126"/>
    </row>
    <row r="242" spans="1:8">
      <c r="A242" s="218">
        <v>8026</v>
      </c>
      <c r="B242" s="219" t="s">
        <v>231</v>
      </c>
      <c r="C242" s="223">
        <v>342296</v>
      </c>
      <c r="D242" s="225">
        <v>3.5469999999999998E-3</v>
      </c>
      <c r="E242" s="146"/>
      <c r="F242" s="145"/>
      <c r="G242" s="125"/>
      <c r="H242" s="126"/>
    </row>
    <row r="243" spans="1:8">
      <c r="A243" s="220">
        <v>32119</v>
      </c>
      <c r="B243" s="221" t="s">
        <v>232</v>
      </c>
      <c r="C243" s="224">
        <v>9994</v>
      </c>
      <c r="D243" s="226">
        <v>1.036E-4</v>
      </c>
      <c r="E243" s="146"/>
      <c r="F243" s="145"/>
      <c r="G243" s="125"/>
      <c r="H243" s="126"/>
    </row>
    <row r="244" spans="1:8">
      <c r="A244" s="218">
        <v>25076</v>
      </c>
      <c r="B244" s="219" t="s">
        <v>233</v>
      </c>
      <c r="C244" s="223">
        <v>206913</v>
      </c>
      <c r="D244" s="225">
        <v>2.1440999999999999E-3</v>
      </c>
      <c r="E244" s="146"/>
      <c r="F244" s="145"/>
      <c r="G244" s="125"/>
      <c r="H244" s="126"/>
    </row>
    <row r="245" spans="1:8">
      <c r="A245" s="220">
        <v>2440</v>
      </c>
      <c r="B245" s="221" t="s">
        <v>414</v>
      </c>
      <c r="C245" s="224">
        <v>12698</v>
      </c>
      <c r="D245" s="226">
        <v>1.316E-4</v>
      </c>
      <c r="E245" s="146"/>
      <c r="F245" s="145"/>
      <c r="G245" s="125"/>
      <c r="H245" s="126"/>
    </row>
    <row r="246" spans="1:8">
      <c r="A246" s="218">
        <v>2309</v>
      </c>
      <c r="B246" s="219" t="s">
        <v>234</v>
      </c>
      <c r="C246" s="223">
        <v>80035</v>
      </c>
      <c r="D246" s="225">
        <v>8.2930000000000005E-4</v>
      </c>
      <c r="E246" s="146"/>
      <c r="F246" s="145"/>
      <c r="G246" s="125"/>
      <c r="H246" s="126"/>
    </row>
    <row r="247" spans="1:8">
      <c r="A247" s="220">
        <v>2396</v>
      </c>
      <c r="B247" s="221" t="s">
        <v>235</v>
      </c>
      <c r="C247" s="224">
        <v>20690</v>
      </c>
      <c r="D247" s="226">
        <v>2.1440000000000001E-4</v>
      </c>
      <c r="E247" s="146"/>
      <c r="F247" s="145"/>
      <c r="G247" s="125"/>
      <c r="H247" s="126"/>
    </row>
    <row r="248" spans="1:8">
      <c r="A248" s="218">
        <v>3380</v>
      </c>
      <c r="B248" s="219" t="s">
        <v>236</v>
      </c>
      <c r="C248" s="223">
        <v>16966</v>
      </c>
      <c r="D248" s="225">
        <v>1.7579999999999999E-4</v>
      </c>
      <c r="E248" s="146"/>
      <c r="F248" s="145"/>
      <c r="G248" s="125"/>
      <c r="H248" s="126"/>
    </row>
    <row r="249" spans="1:8">
      <c r="A249" s="220">
        <v>2420</v>
      </c>
      <c r="B249" s="221" t="s">
        <v>237</v>
      </c>
      <c r="C249" s="224">
        <v>25665</v>
      </c>
      <c r="D249" s="226">
        <v>2.6590000000000001E-4</v>
      </c>
      <c r="E249" s="146"/>
      <c r="F249" s="145"/>
      <c r="G249" s="125"/>
      <c r="H249" s="126"/>
    </row>
    <row r="250" spans="1:8">
      <c r="A250" s="218">
        <v>2740</v>
      </c>
      <c r="B250" s="219" t="s">
        <v>238</v>
      </c>
      <c r="C250" s="223">
        <v>3330</v>
      </c>
      <c r="D250" s="225">
        <v>3.4499999999999998E-5</v>
      </c>
      <c r="E250" s="146"/>
      <c r="F250" s="145"/>
      <c r="G250" s="125"/>
      <c r="H250" s="126"/>
    </row>
    <row r="251" spans="1:8">
      <c r="A251" s="220">
        <v>2346</v>
      </c>
      <c r="B251" s="221" t="s">
        <v>239</v>
      </c>
      <c r="C251" s="224">
        <v>18149</v>
      </c>
      <c r="D251" s="226">
        <v>1.8809999999999999E-4</v>
      </c>
      <c r="E251" s="146"/>
      <c r="F251" s="145"/>
      <c r="G251" s="125"/>
      <c r="H251" s="126"/>
    </row>
    <row r="252" spans="1:8">
      <c r="A252" s="218">
        <v>21150</v>
      </c>
      <c r="B252" s="219" t="s">
        <v>240</v>
      </c>
      <c r="C252" s="223">
        <v>41166</v>
      </c>
      <c r="D252" s="225">
        <v>4.2660000000000002E-4</v>
      </c>
      <c r="E252" s="146"/>
      <c r="F252" s="145"/>
      <c r="G252" s="125"/>
      <c r="H252" s="126"/>
    </row>
    <row r="253" spans="1:8">
      <c r="A253" s="220">
        <v>32098</v>
      </c>
      <c r="B253" s="221" t="s">
        <v>241</v>
      </c>
      <c r="C253" s="224">
        <v>21851</v>
      </c>
      <c r="D253" s="226">
        <v>2.264E-4</v>
      </c>
      <c r="E253" s="146"/>
      <c r="F253" s="145"/>
      <c r="G253" s="125"/>
      <c r="H253" s="126"/>
    </row>
    <row r="254" spans="1:8">
      <c r="A254" s="218">
        <v>4520</v>
      </c>
      <c r="B254" s="219" t="s">
        <v>242</v>
      </c>
      <c r="C254" s="223">
        <v>2750</v>
      </c>
      <c r="D254" s="225">
        <v>2.8500000000000002E-5</v>
      </c>
      <c r="E254" s="146"/>
      <c r="F254" s="145"/>
      <c r="G254" s="125"/>
      <c r="H254" s="126"/>
    </row>
    <row r="255" spans="1:8">
      <c r="A255" s="220">
        <v>9030</v>
      </c>
      <c r="B255" s="221" t="s">
        <v>243</v>
      </c>
      <c r="C255" s="224">
        <v>28232</v>
      </c>
      <c r="D255" s="226">
        <v>2.9250000000000001E-4</v>
      </c>
      <c r="E255" s="146"/>
      <c r="F255" s="145"/>
      <c r="G255" s="125"/>
      <c r="H255" s="126"/>
    </row>
    <row r="256" spans="1:8">
      <c r="A256" s="218">
        <v>20265</v>
      </c>
      <c r="B256" s="219" t="s">
        <v>244</v>
      </c>
      <c r="C256" s="223">
        <v>29759</v>
      </c>
      <c r="D256" s="225">
        <v>3.0840000000000002E-4</v>
      </c>
      <c r="E256" s="146"/>
      <c r="F256" s="145"/>
      <c r="G256" s="125"/>
      <c r="H256" s="126"/>
    </row>
    <row r="257" spans="1:8">
      <c r="A257" s="220">
        <v>20307</v>
      </c>
      <c r="B257" s="221" t="s">
        <v>245</v>
      </c>
      <c r="C257" s="273">
        <v>22391</v>
      </c>
      <c r="D257" s="226">
        <v>2.32E-4</v>
      </c>
      <c r="E257" s="146"/>
      <c r="F257" s="145"/>
      <c r="G257" s="125"/>
      <c r="H257" s="126"/>
    </row>
    <row r="258" spans="1:8">
      <c r="A258" s="218">
        <v>3320</v>
      </c>
      <c r="B258" s="219" t="s">
        <v>246</v>
      </c>
      <c r="C258" s="223">
        <v>184974</v>
      </c>
      <c r="D258" s="225">
        <v>1.9168E-3</v>
      </c>
      <c r="E258" s="146"/>
      <c r="F258" s="145"/>
      <c r="G258" s="125"/>
      <c r="H258" s="126"/>
    </row>
    <row r="259" spans="1:8">
      <c r="A259" s="220">
        <v>20415</v>
      </c>
      <c r="B259" s="221" t="s">
        <v>247</v>
      </c>
      <c r="C259" s="224">
        <v>17306</v>
      </c>
      <c r="D259" s="226">
        <v>1.7929999999999999E-4</v>
      </c>
      <c r="E259" s="146"/>
      <c r="F259" s="145"/>
      <c r="G259" s="125"/>
      <c r="H259" s="126"/>
    </row>
    <row r="260" spans="1:8">
      <c r="A260" s="218">
        <v>20435</v>
      </c>
      <c r="B260" s="219" t="s">
        <v>441</v>
      </c>
      <c r="C260" s="223">
        <v>21913</v>
      </c>
      <c r="D260" s="225">
        <v>2.2709999999999999E-4</v>
      </c>
      <c r="E260" s="146"/>
      <c r="F260" s="145"/>
      <c r="G260" s="125"/>
      <c r="H260" s="126"/>
    </row>
    <row r="261" spans="1:8">
      <c r="A261" s="220">
        <v>20062</v>
      </c>
      <c r="B261" s="221" t="s">
        <v>248</v>
      </c>
      <c r="C261" s="224">
        <v>290650</v>
      </c>
      <c r="D261" s="226">
        <v>3.0117999999999998E-3</v>
      </c>
      <c r="E261" s="146"/>
      <c r="F261" s="145"/>
      <c r="G261" s="125"/>
      <c r="H261" s="126"/>
    </row>
    <row r="262" spans="1:8">
      <c r="A262" s="218">
        <v>6020</v>
      </c>
      <c r="B262" s="219" t="s">
        <v>249</v>
      </c>
      <c r="C262" s="223">
        <v>55087</v>
      </c>
      <c r="D262" s="225">
        <v>5.708E-4</v>
      </c>
      <c r="E262" s="146"/>
      <c r="F262" s="145"/>
      <c r="G262" s="125"/>
      <c r="H262" s="126"/>
    </row>
    <row r="263" spans="1:8">
      <c r="A263" s="220">
        <v>2394</v>
      </c>
      <c r="B263" s="221" t="s">
        <v>250</v>
      </c>
      <c r="C263" s="224">
        <v>29027</v>
      </c>
      <c r="D263" s="226">
        <v>3.0079999999999999E-4</v>
      </c>
      <c r="E263" s="146"/>
      <c r="F263" s="145"/>
      <c r="G263" s="125"/>
      <c r="H263" s="126"/>
    </row>
    <row r="264" spans="1:8">
      <c r="A264" s="218">
        <v>5015</v>
      </c>
      <c r="B264" s="219" t="s">
        <v>251</v>
      </c>
      <c r="C264" s="223">
        <v>78863</v>
      </c>
      <c r="D264" s="225">
        <v>8.1720000000000002E-4</v>
      </c>
      <c r="E264" s="146"/>
      <c r="F264" s="145"/>
      <c r="G264" s="125"/>
      <c r="H264" s="126"/>
    </row>
    <row r="265" spans="1:8">
      <c r="A265" s="220">
        <v>29408</v>
      </c>
      <c r="B265" s="221" t="s">
        <v>252</v>
      </c>
      <c r="C265" s="224">
        <v>49481</v>
      </c>
      <c r="D265" s="226">
        <v>5.1270000000000005E-4</v>
      </c>
      <c r="E265" s="146"/>
      <c r="F265" s="145"/>
      <c r="G265" s="125"/>
      <c r="H265" s="126"/>
    </row>
    <row r="266" spans="1:8">
      <c r="A266" s="218">
        <v>2413</v>
      </c>
      <c r="B266" s="219" t="s">
        <v>253</v>
      </c>
      <c r="C266" s="223">
        <v>16965</v>
      </c>
      <c r="D266" s="225">
        <v>1.7579999999999999E-4</v>
      </c>
      <c r="E266" s="146"/>
      <c r="F266" s="145"/>
      <c r="G266" s="125"/>
      <c r="H266" s="126"/>
    </row>
    <row r="267" spans="1:8">
      <c r="A267" s="220">
        <v>1398</v>
      </c>
      <c r="B267" s="221" t="s">
        <v>254</v>
      </c>
      <c r="C267" s="224">
        <v>25938</v>
      </c>
      <c r="D267" s="226">
        <v>2.6879999999999997E-4</v>
      </c>
      <c r="E267" s="146"/>
      <c r="F267" s="145"/>
      <c r="G267" s="125"/>
      <c r="H267" s="126"/>
    </row>
    <row r="268" spans="1:8">
      <c r="A268" s="218">
        <v>2366</v>
      </c>
      <c r="B268" s="219" t="s">
        <v>255</v>
      </c>
      <c r="C268" s="223">
        <v>25687</v>
      </c>
      <c r="D268" s="225">
        <v>2.6620000000000002E-4</v>
      </c>
      <c r="E268" s="146"/>
      <c r="F268" s="145"/>
      <c r="G268" s="125"/>
      <c r="H268" s="126"/>
    </row>
    <row r="269" spans="1:8">
      <c r="A269" s="220">
        <v>7421</v>
      </c>
      <c r="B269" s="221" t="s">
        <v>256</v>
      </c>
      <c r="C269" s="224">
        <v>20041</v>
      </c>
      <c r="D269" s="226">
        <v>2.0770000000000001E-4</v>
      </c>
      <c r="E269" s="146"/>
      <c r="F269" s="145"/>
      <c r="G269" s="125"/>
      <c r="H269" s="126"/>
    </row>
    <row r="270" spans="1:8">
      <c r="A270" s="218">
        <v>2370</v>
      </c>
      <c r="B270" s="219" t="s">
        <v>257</v>
      </c>
      <c r="C270" s="223">
        <v>37004</v>
      </c>
      <c r="D270" s="225">
        <v>3.834E-4</v>
      </c>
      <c r="E270" s="146"/>
      <c r="F270" s="145"/>
      <c r="G270" s="125"/>
      <c r="H270" s="126"/>
    </row>
    <row r="271" spans="1:8">
      <c r="A271" s="220">
        <v>32094</v>
      </c>
      <c r="B271" s="221" t="s">
        <v>258</v>
      </c>
      <c r="C271" s="224">
        <v>38528</v>
      </c>
      <c r="D271" s="226">
        <v>3.992E-4</v>
      </c>
      <c r="E271" s="146"/>
      <c r="F271" s="145"/>
      <c r="G271" s="125"/>
      <c r="H271" s="126"/>
    </row>
    <row r="272" spans="1:8">
      <c r="A272" s="218">
        <v>2790</v>
      </c>
      <c r="B272" s="219" t="s">
        <v>259</v>
      </c>
      <c r="C272" s="223">
        <v>3389</v>
      </c>
      <c r="D272" s="225">
        <v>3.5099999999999999E-5</v>
      </c>
      <c r="E272" s="146"/>
      <c r="F272" s="145"/>
      <c r="G272" s="125"/>
      <c r="H272" s="126"/>
    </row>
    <row r="273" spans="1:8">
      <c r="A273" s="220">
        <v>3330</v>
      </c>
      <c r="B273" s="221" t="s">
        <v>260</v>
      </c>
      <c r="C273" s="224">
        <v>82167</v>
      </c>
      <c r="D273" s="226">
        <v>8.5139999999999999E-4</v>
      </c>
      <c r="E273" s="146"/>
      <c r="F273" s="145"/>
      <c r="G273" s="125"/>
      <c r="H273" s="126"/>
    </row>
    <row r="274" spans="1:8">
      <c r="A274" s="218">
        <v>2080</v>
      </c>
      <c r="B274" s="219" t="s">
        <v>261</v>
      </c>
      <c r="C274" s="223">
        <v>104606</v>
      </c>
      <c r="D274" s="225">
        <v>1.0839999999999999E-3</v>
      </c>
      <c r="E274" s="146"/>
      <c r="F274" s="145"/>
      <c r="G274" s="125"/>
      <c r="H274" s="126"/>
    </row>
    <row r="275" spans="1:8">
      <c r="A275" s="220">
        <v>4290</v>
      </c>
      <c r="B275" s="221" t="s">
        <v>262</v>
      </c>
      <c r="C275" s="224">
        <v>32853</v>
      </c>
      <c r="D275" s="226">
        <v>3.4039999999999998E-4</v>
      </c>
      <c r="E275" s="146"/>
      <c r="F275" s="145"/>
      <c r="G275" s="125"/>
      <c r="H275" s="126"/>
    </row>
    <row r="276" spans="1:8">
      <c r="A276" s="218">
        <v>2270</v>
      </c>
      <c r="B276" s="219" t="s">
        <v>263</v>
      </c>
      <c r="C276" s="223">
        <v>2457</v>
      </c>
      <c r="D276" s="225">
        <v>2.55E-5</v>
      </c>
      <c r="E276" s="146"/>
      <c r="F276" s="145"/>
      <c r="G276" s="125"/>
      <c r="H276" s="126"/>
    </row>
    <row r="277" spans="1:8">
      <c r="A277" s="220">
        <v>2300</v>
      </c>
      <c r="B277" s="221" t="s">
        <v>264</v>
      </c>
      <c r="C277" s="224">
        <v>9577</v>
      </c>
      <c r="D277" s="226">
        <v>9.9199999999999999E-5</v>
      </c>
      <c r="E277" s="146"/>
      <c r="F277" s="145"/>
      <c r="G277" s="125"/>
      <c r="H277" s="126"/>
    </row>
    <row r="278" spans="1:8">
      <c r="A278" s="218">
        <v>2720</v>
      </c>
      <c r="B278" s="219" t="s">
        <v>265</v>
      </c>
      <c r="C278" s="223">
        <v>128130</v>
      </c>
      <c r="D278" s="225">
        <v>1.3277E-3</v>
      </c>
      <c r="E278" s="146"/>
      <c r="F278" s="145"/>
      <c r="G278" s="125"/>
      <c r="H278" s="126"/>
    </row>
    <row r="279" spans="1:8">
      <c r="A279" s="220">
        <v>2750</v>
      </c>
      <c r="B279" s="221" t="s">
        <v>266</v>
      </c>
      <c r="C279" s="224">
        <v>9383</v>
      </c>
      <c r="D279" s="226">
        <v>9.7200000000000004E-5</v>
      </c>
      <c r="E279" s="146"/>
      <c r="F279" s="145"/>
      <c r="G279" s="125"/>
      <c r="H279" s="126"/>
    </row>
    <row r="280" spans="1:8">
      <c r="A280" s="218">
        <v>2770</v>
      </c>
      <c r="B280" s="219" t="s">
        <v>267</v>
      </c>
      <c r="C280" s="223">
        <v>106683</v>
      </c>
      <c r="D280" s="225">
        <v>1.1054999999999999E-3</v>
      </c>
      <c r="E280" s="146"/>
      <c r="F280" s="145"/>
      <c r="G280" s="125"/>
      <c r="H280" s="126"/>
    </row>
    <row r="281" spans="1:8">
      <c r="A281" s="220">
        <v>32106</v>
      </c>
      <c r="B281" s="221" t="s">
        <v>268</v>
      </c>
      <c r="C281" s="224">
        <v>11475</v>
      </c>
      <c r="D281" s="226">
        <v>1.189E-4</v>
      </c>
      <c r="E281" s="146"/>
      <c r="F281" s="145"/>
      <c r="G281" s="125"/>
      <c r="H281" s="126"/>
    </row>
    <row r="282" spans="1:8">
      <c r="A282" s="218">
        <v>4180</v>
      </c>
      <c r="B282" s="219" t="s">
        <v>269</v>
      </c>
      <c r="C282" s="223">
        <v>13200</v>
      </c>
      <c r="D282" s="225">
        <v>1.3679999999999999E-4</v>
      </c>
      <c r="E282" s="146"/>
      <c r="F282" s="145"/>
      <c r="G282" s="125"/>
      <c r="H282" s="126"/>
    </row>
    <row r="283" spans="1:8">
      <c r="A283" s="220">
        <v>21063</v>
      </c>
      <c r="B283" s="221" t="s">
        <v>270</v>
      </c>
      <c r="C283" s="224">
        <v>177378</v>
      </c>
      <c r="D283" s="226">
        <v>1.838E-3</v>
      </c>
      <c r="E283" s="146"/>
      <c r="F283" s="145"/>
      <c r="G283" s="125"/>
      <c r="H283" s="126"/>
    </row>
    <row r="284" spans="1:8">
      <c r="A284" s="218">
        <v>10033</v>
      </c>
      <c r="B284" s="219" t="s">
        <v>271</v>
      </c>
      <c r="C284" s="223">
        <v>124811</v>
      </c>
      <c r="D284" s="225">
        <v>1.2933E-3</v>
      </c>
      <c r="E284" s="146"/>
      <c r="F284" s="145"/>
      <c r="G284" s="125"/>
      <c r="H284" s="126"/>
    </row>
    <row r="285" spans="1:8">
      <c r="A285" s="220">
        <v>15049</v>
      </c>
      <c r="B285" s="221" t="s">
        <v>272</v>
      </c>
      <c r="C285" s="224">
        <v>127854</v>
      </c>
      <c r="D285" s="226">
        <v>1.3248999999999999E-3</v>
      </c>
      <c r="E285" s="146"/>
      <c r="F285" s="145"/>
      <c r="G285" s="125"/>
      <c r="H285" s="126"/>
    </row>
    <row r="286" spans="1:8">
      <c r="A286" s="218">
        <v>1315</v>
      </c>
      <c r="B286" s="219" t="s">
        <v>273</v>
      </c>
      <c r="C286" s="223">
        <v>69667</v>
      </c>
      <c r="D286" s="225">
        <v>7.2190000000000004E-4</v>
      </c>
      <c r="E286" s="146"/>
      <c r="F286" s="145"/>
      <c r="G286" s="125"/>
      <c r="H286" s="126"/>
    </row>
    <row r="287" spans="1:8">
      <c r="A287" s="220">
        <v>3340</v>
      </c>
      <c r="B287" s="221" t="s">
        <v>274</v>
      </c>
      <c r="C287" s="224">
        <v>30732</v>
      </c>
      <c r="D287" s="226">
        <v>3.1849999999999999E-4</v>
      </c>
      <c r="E287" s="146"/>
      <c r="F287" s="145"/>
      <c r="G287" s="125"/>
      <c r="H287" s="126"/>
    </row>
    <row r="288" spans="1:8">
      <c r="A288" s="218">
        <v>3350</v>
      </c>
      <c r="B288" s="219" t="s">
        <v>275</v>
      </c>
      <c r="C288" s="223">
        <v>199239</v>
      </c>
      <c r="D288" s="225">
        <v>2.0646000000000002E-3</v>
      </c>
      <c r="E288" s="146"/>
      <c r="F288" s="145"/>
      <c r="G288" s="125"/>
      <c r="H288" s="126"/>
    </row>
    <row r="289" spans="1:8">
      <c r="A289" s="220">
        <v>24073</v>
      </c>
      <c r="B289" s="221" t="s">
        <v>276</v>
      </c>
      <c r="C289" s="224">
        <v>21636</v>
      </c>
      <c r="D289" s="226">
        <v>2.242E-4</v>
      </c>
      <c r="E289" s="146"/>
      <c r="F289" s="145"/>
      <c r="G289" s="125"/>
      <c r="H289" s="126"/>
    </row>
    <row r="290" spans="1:8">
      <c r="A290" s="218">
        <v>2100</v>
      </c>
      <c r="B290" s="219" t="s">
        <v>277</v>
      </c>
      <c r="C290" s="223">
        <v>28640</v>
      </c>
      <c r="D290" s="225">
        <v>2.968E-4</v>
      </c>
      <c r="E290" s="146"/>
      <c r="F290" s="145"/>
      <c r="G290" s="125"/>
      <c r="H290" s="126"/>
    </row>
    <row r="291" spans="1:8">
      <c r="A291" s="220">
        <v>2130</v>
      </c>
      <c r="B291" s="221" t="s">
        <v>278</v>
      </c>
      <c r="C291" s="224">
        <v>8846</v>
      </c>
      <c r="D291" s="226">
        <v>9.1700000000000006E-5</v>
      </c>
      <c r="E291" s="146"/>
      <c r="F291" s="145"/>
      <c r="G291" s="125"/>
      <c r="H291" s="126"/>
    </row>
    <row r="292" spans="1:8">
      <c r="A292" s="218">
        <v>32099</v>
      </c>
      <c r="B292" s="219" t="s">
        <v>279</v>
      </c>
      <c r="C292" s="223">
        <v>8955</v>
      </c>
      <c r="D292" s="225">
        <v>9.2800000000000006E-5</v>
      </c>
      <c r="E292" s="146"/>
      <c r="F292" s="145"/>
      <c r="G292" s="125"/>
      <c r="H292" s="126"/>
    </row>
    <row r="293" spans="1:8">
      <c r="A293" s="220">
        <v>32100</v>
      </c>
      <c r="B293" s="221" t="s">
        <v>280</v>
      </c>
      <c r="C293" s="224">
        <v>19060</v>
      </c>
      <c r="D293" s="226">
        <v>1.975E-4</v>
      </c>
      <c r="E293" s="146"/>
      <c r="F293" s="145"/>
      <c r="G293" s="125"/>
      <c r="H293" s="126"/>
    </row>
    <row r="294" spans="1:8">
      <c r="A294" s="218">
        <v>32101</v>
      </c>
      <c r="B294" s="219" t="s">
        <v>281</v>
      </c>
      <c r="C294" s="223">
        <v>6407</v>
      </c>
      <c r="D294" s="225">
        <v>6.6400000000000001E-5</v>
      </c>
      <c r="E294" s="146"/>
      <c r="F294" s="145"/>
      <c r="G294" s="125"/>
      <c r="H294" s="126"/>
    </row>
    <row r="295" spans="1:8">
      <c r="A295" s="220">
        <v>32102</v>
      </c>
      <c r="B295" s="221" t="s">
        <v>282</v>
      </c>
      <c r="C295" s="224">
        <v>11657</v>
      </c>
      <c r="D295" s="226">
        <v>1.208E-4</v>
      </c>
      <c r="E295" s="146"/>
      <c r="F295" s="145"/>
      <c r="G295" s="125"/>
      <c r="H295" s="126"/>
    </row>
    <row r="296" spans="1:8">
      <c r="A296" s="218">
        <v>2880</v>
      </c>
      <c r="B296" s="219" t="s">
        <v>283</v>
      </c>
      <c r="C296" s="223">
        <v>3456</v>
      </c>
      <c r="D296" s="225">
        <v>3.5800000000000003E-5</v>
      </c>
      <c r="E296" s="146"/>
      <c r="F296" s="145"/>
      <c r="G296" s="125"/>
      <c r="H296" s="126"/>
    </row>
    <row r="297" spans="1:8">
      <c r="A297" s="220">
        <v>2490</v>
      </c>
      <c r="B297" s="221" t="s">
        <v>284</v>
      </c>
      <c r="C297" s="224">
        <v>26941</v>
      </c>
      <c r="D297" s="226">
        <v>2.7920000000000001E-4</v>
      </c>
      <c r="E297" s="146"/>
      <c r="F297" s="145"/>
      <c r="G297" s="125"/>
      <c r="H297" s="126"/>
    </row>
    <row r="298" spans="1:8">
      <c r="A298" s="218">
        <v>2530</v>
      </c>
      <c r="B298" s="219" t="s">
        <v>285</v>
      </c>
      <c r="C298" s="223">
        <v>6891</v>
      </c>
      <c r="D298" s="225">
        <v>7.1400000000000001E-5</v>
      </c>
      <c r="E298" s="146"/>
      <c r="F298" s="145"/>
      <c r="G298" s="125"/>
      <c r="H298" s="126"/>
    </row>
    <row r="299" spans="1:8">
      <c r="A299" s="220">
        <v>2560</v>
      </c>
      <c r="B299" s="221" t="s">
        <v>286</v>
      </c>
      <c r="C299" s="224">
        <v>10866</v>
      </c>
      <c r="D299" s="226">
        <v>1.126E-4</v>
      </c>
      <c r="E299" s="146"/>
      <c r="F299" s="145"/>
      <c r="G299" s="125"/>
      <c r="H299" s="126"/>
    </row>
    <row r="300" spans="1:8">
      <c r="A300" s="218">
        <v>2610</v>
      </c>
      <c r="B300" s="219" t="s">
        <v>287</v>
      </c>
      <c r="C300" s="223">
        <v>3257</v>
      </c>
      <c r="D300" s="225">
        <v>3.3699999999999999E-5</v>
      </c>
      <c r="E300" s="146"/>
      <c r="F300" s="145"/>
      <c r="G300" s="125"/>
      <c r="H300" s="126"/>
    </row>
    <row r="301" spans="1:8">
      <c r="A301" s="220">
        <v>2800</v>
      </c>
      <c r="B301" s="221" t="s">
        <v>288</v>
      </c>
      <c r="C301" s="224">
        <v>8088</v>
      </c>
      <c r="D301" s="226">
        <v>8.3800000000000004E-5</v>
      </c>
      <c r="E301" s="146"/>
      <c r="F301" s="145"/>
      <c r="G301" s="125"/>
      <c r="H301" s="126"/>
    </row>
    <row r="302" spans="1:8">
      <c r="A302" s="218">
        <v>20317</v>
      </c>
      <c r="B302" s="219" t="s">
        <v>289</v>
      </c>
      <c r="C302" s="223">
        <v>17631</v>
      </c>
      <c r="D302" s="225">
        <v>1.827E-4</v>
      </c>
      <c r="E302" s="146"/>
      <c r="F302" s="145"/>
      <c r="G302" s="125"/>
      <c r="H302" s="126"/>
    </row>
    <row r="303" spans="1:8">
      <c r="A303" s="220">
        <v>30090</v>
      </c>
      <c r="B303" s="221" t="s">
        <v>290</v>
      </c>
      <c r="C303" s="224">
        <v>27294</v>
      </c>
      <c r="D303" s="226">
        <v>2.8279999999999999E-4</v>
      </c>
      <c r="E303" s="146"/>
      <c r="F303" s="145"/>
      <c r="G303" s="125"/>
      <c r="H303" s="126"/>
    </row>
    <row r="304" spans="1:8">
      <c r="A304" s="218">
        <v>29330</v>
      </c>
      <c r="B304" s="219" t="s">
        <v>291</v>
      </c>
      <c r="C304" s="223">
        <v>12193</v>
      </c>
      <c r="D304" s="225">
        <v>1.2630000000000001E-4</v>
      </c>
      <c r="E304" s="146"/>
      <c r="F304" s="145"/>
      <c r="G304" s="125"/>
      <c r="H304" s="126"/>
    </row>
    <row r="305" spans="1:8">
      <c r="A305" s="220">
        <v>12038</v>
      </c>
      <c r="B305" s="221" t="s">
        <v>292</v>
      </c>
      <c r="C305" s="224">
        <v>224880</v>
      </c>
      <c r="D305" s="226">
        <v>2.3303E-3</v>
      </c>
      <c r="E305" s="146"/>
      <c r="F305" s="145"/>
      <c r="G305" s="125"/>
      <c r="H305" s="126"/>
    </row>
    <row r="306" spans="1:8">
      <c r="A306" s="218">
        <v>8099</v>
      </c>
      <c r="B306" s="219" t="s">
        <v>293</v>
      </c>
      <c r="C306" s="223">
        <v>371883</v>
      </c>
      <c r="D306" s="225">
        <v>3.8536E-3</v>
      </c>
      <c r="E306" s="146"/>
      <c r="F306" s="145"/>
      <c r="G306" s="125"/>
      <c r="H306" s="126"/>
    </row>
    <row r="307" spans="1:8">
      <c r="A307" s="220">
        <v>2417</v>
      </c>
      <c r="B307" s="221" t="s">
        <v>294</v>
      </c>
      <c r="C307" s="224">
        <v>7443</v>
      </c>
      <c r="D307" s="226">
        <v>7.7100000000000004E-5</v>
      </c>
      <c r="E307" s="146"/>
      <c r="F307" s="145"/>
      <c r="G307" s="125"/>
      <c r="H307" s="126"/>
    </row>
    <row r="308" spans="1:8">
      <c r="A308" s="218">
        <v>13142</v>
      </c>
      <c r="B308" s="219" t="s">
        <v>295</v>
      </c>
      <c r="C308" s="223">
        <v>230963</v>
      </c>
      <c r="D308" s="225">
        <v>2.3933000000000001E-3</v>
      </c>
      <c r="E308" s="146"/>
      <c r="F308" s="145"/>
      <c r="G308" s="125"/>
      <c r="H308" s="126"/>
    </row>
    <row r="309" spans="1:8">
      <c r="A309" s="229"/>
      <c r="B309" s="230"/>
      <c r="C309" s="231"/>
      <c r="D309" s="232"/>
    </row>
    <row r="310" spans="1:8" ht="13.5" thickBot="1">
      <c r="A310" s="229"/>
      <c r="B310" s="233"/>
      <c r="C310" s="274">
        <f>SUM(C9:C309)</f>
        <v>96503837</v>
      </c>
      <c r="D310" s="234">
        <f>SUM(D9:D309)</f>
        <v>0.99999999999999978</v>
      </c>
    </row>
  </sheetData>
  <pageMargins left="0.7" right="0.7" top="0.5" bottom="0.5" header="0.25" footer="0.25"/>
  <pageSetup scale="82" firstPageNumber="3" fitToHeight="0" orientation="portrait" useFirstPageNumber="1" r:id="rId1"/>
  <headerFooter differentOddEven="1">
    <oddFooter>&amp;R&amp;"Arial,Regular"&amp;10&amp;P</oddFooter>
    <evenHeader xml:space="preserve">&amp;L&amp;"Arial,Bold"&amp;12
</evenHeader>
    <evenFooter>&amp;R&amp;"Arial,Regular"&amp;10&amp;P</evenFooter>
  </headerFooter>
  <rowBreaks count="5" manualBreakCount="5">
    <brk id="69" max="3" man="1"/>
    <brk id="130" max="3" man="1"/>
    <brk id="191" max="3" man="1"/>
    <brk id="252" max="3" man="1"/>
    <brk id="308" max="3" man="1"/>
  </rowBreaks>
  <colBreaks count="1" manualBreakCount="1">
    <brk id="2" max="31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E24"/>
  <sheetViews>
    <sheetView workbookViewId="0">
      <selection activeCell="A10" sqref="A10:G10"/>
    </sheetView>
  </sheetViews>
  <sheetFormatPr defaultRowHeight="15"/>
  <cols>
    <col min="1" max="3" width="2.5703125" customWidth="1"/>
    <col min="4" max="4" width="25.7109375" customWidth="1"/>
    <col min="5" max="5" width="52.140625" customWidth="1"/>
  </cols>
  <sheetData>
    <row r="2" spans="1:5" s="181" customFormat="1">
      <c r="A2" s="242" t="s">
        <v>429</v>
      </c>
      <c r="E2" s="159" t="s">
        <v>476</v>
      </c>
    </row>
    <row r="3" spans="1:5" s="181" customFormat="1"/>
    <row r="4" spans="1:5">
      <c r="A4" s="98" t="s">
        <v>336</v>
      </c>
      <c r="B4" s="98"/>
      <c r="C4" s="98"/>
      <c r="D4" s="97"/>
      <c r="E4" s="99" t="s">
        <v>337</v>
      </c>
    </row>
    <row r="5" spans="1:5">
      <c r="A5" s="98"/>
      <c r="B5" s="98"/>
      <c r="C5" s="98"/>
      <c r="D5" s="98"/>
      <c r="E5" s="99" t="s">
        <v>338</v>
      </c>
    </row>
    <row r="6" spans="1:5" ht="6" customHeight="1">
      <c r="A6" s="98" t="s">
        <v>335</v>
      </c>
      <c r="B6" s="98"/>
      <c r="C6" s="98"/>
      <c r="D6" s="98"/>
      <c r="E6" s="97"/>
    </row>
    <row r="7" spans="1:5">
      <c r="A7" s="98" t="s">
        <v>339</v>
      </c>
      <c r="B7" s="97"/>
      <c r="C7" s="97"/>
      <c r="D7" s="97"/>
      <c r="E7" s="99" t="s">
        <v>340</v>
      </c>
    </row>
    <row r="8" spans="1:5" ht="7.35" customHeight="1">
      <c r="A8" s="98"/>
      <c r="B8" s="98"/>
      <c r="C8" s="98"/>
      <c r="D8" s="98"/>
      <c r="E8" s="97"/>
    </row>
    <row r="9" spans="1:5">
      <c r="A9" s="99" t="s">
        <v>341</v>
      </c>
      <c r="B9" s="97"/>
      <c r="C9" s="97"/>
      <c r="D9" s="97"/>
      <c r="E9" s="97"/>
    </row>
    <row r="10" spans="1:5">
      <c r="A10" s="97"/>
      <c r="B10" s="99" t="s">
        <v>342</v>
      </c>
      <c r="C10" s="97"/>
      <c r="D10" s="97"/>
      <c r="E10" s="100" t="s">
        <v>477</v>
      </c>
    </row>
    <row r="11" spans="1:5">
      <c r="A11" s="97"/>
      <c r="B11" s="99" t="s">
        <v>369</v>
      </c>
      <c r="C11" s="97"/>
      <c r="D11" s="97"/>
      <c r="E11" s="100" t="s">
        <v>478</v>
      </c>
    </row>
    <row r="12" spans="1:5">
      <c r="A12" s="97"/>
      <c r="B12" s="99"/>
      <c r="C12" s="97"/>
      <c r="D12" s="97"/>
      <c r="E12" s="100" t="s">
        <v>402</v>
      </c>
    </row>
    <row r="13" spans="1:5">
      <c r="B13" s="99" t="s">
        <v>343</v>
      </c>
      <c r="C13" s="97"/>
      <c r="D13" s="97"/>
      <c r="E13" s="100" t="s">
        <v>479</v>
      </c>
    </row>
    <row r="14" spans="1:5">
      <c r="B14" s="97"/>
      <c r="C14" s="97"/>
      <c r="D14" s="97"/>
      <c r="E14" s="100" t="s">
        <v>344</v>
      </c>
    </row>
    <row r="15" spans="1:5">
      <c r="B15" s="161" t="s">
        <v>370</v>
      </c>
      <c r="C15" s="162"/>
      <c r="D15" s="162"/>
      <c r="E15" s="163" t="s">
        <v>345</v>
      </c>
    </row>
    <row r="16" spans="1:5">
      <c r="B16" s="162"/>
      <c r="C16" s="162"/>
      <c r="D16" s="162"/>
      <c r="E16" s="163" t="s">
        <v>346</v>
      </c>
    </row>
    <row r="17" spans="2:5">
      <c r="B17" s="162"/>
      <c r="C17" s="162"/>
      <c r="D17" s="162"/>
      <c r="E17" s="163" t="s">
        <v>401</v>
      </c>
    </row>
    <row r="18" spans="2:5">
      <c r="B18" s="161" t="s">
        <v>374</v>
      </c>
      <c r="C18" s="164"/>
      <c r="D18" s="164"/>
      <c r="E18" s="163" t="s">
        <v>480</v>
      </c>
    </row>
    <row r="19" spans="2:5">
      <c r="B19" s="164"/>
      <c r="C19" s="164"/>
      <c r="D19" s="164"/>
      <c r="E19" s="163" t="s">
        <v>484</v>
      </c>
    </row>
    <row r="20" spans="2:5">
      <c r="B20" s="164"/>
      <c r="C20" s="164"/>
      <c r="D20" s="164"/>
      <c r="E20" s="163" t="s">
        <v>492</v>
      </c>
    </row>
    <row r="21" spans="2:5" s="215" customFormat="1">
      <c r="B21" s="164"/>
      <c r="C21" s="164"/>
      <c r="D21" s="164"/>
      <c r="E21" s="163" t="s">
        <v>493</v>
      </c>
    </row>
    <row r="22" spans="2:5">
      <c r="B22" s="164"/>
      <c r="C22" s="164"/>
      <c r="D22" s="164"/>
      <c r="E22" s="163" t="s">
        <v>482</v>
      </c>
    </row>
    <row r="23" spans="2:5">
      <c r="E23" s="163" t="s">
        <v>483</v>
      </c>
    </row>
    <row r="24" spans="2:5">
      <c r="E24" s="163" t="s">
        <v>481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H10"/>
  <sheetViews>
    <sheetView workbookViewId="0">
      <selection activeCell="A10" sqref="A10:G10"/>
    </sheetView>
  </sheetViews>
  <sheetFormatPr defaultRowHeight="15"/>
  <cols>
    <col min="1" max="3" width="3.28515625" customWidth="1"/>
    <col min="5" max="5" width="28.28515625" customWidth="1"/>
    <col min="6" max="6" width="16.42578125" bestFit="1" customWidth="1"/>
    <col min="8" max="8" width="13.28515625" bestFit="1" customWidth="1"/>
  </cols>
  <sheetData>
    <row r="2" spans="1:8">
      <c r="A2" s="101"/>
      <c r="B2" s="101"/>
      <c r="C2" s="101"/>
      <c r="D2" s="101"/>
      <c r="E2" s="101"/>
      <c r="F2" s="285" t="s">
        <v>476</v>
      </c>
    </row>
    <row r="3" spans="1:8">
      <c r="A3" s="116"/>
      <c r="B3" s="116"/>
      <c r="C3" s="116"/>
      <c r="D3" s="116"/>
      <c r="E3" s="116"/>
      <c r="F3" s="103"/>
    </row>
    <row r="4" spans="1:8">
      <c r="A4" s="102" t="s">
        <v>347</v>
      </c>
      <c r="B4" s="101"/>
      <c r="C4" s="101"/>
      <c r="D4" s="101"/>
      <c r="E4" s="101"/>
      <c r="F4" s="103">
        <v>4409849335</v>
      </c>
    </row>
    <row r="5" spans="1:8">
      <c r="A5" s="102" t="s">
        <v>348</v>
      </c>
      <c r="B5" s="101"/>
      <c r="C5" s="101"/>
      <c r="D5" s="101"/>
      <c r="E5" s="101"/>
      <c r="F5" s="300">
        <v>1119499545</v>
      </c>
    </row>
    <row r="6" spans="1:8" s="215" customFormat="1">
      <c r="A6" s="102"/>
      <c r="B6" s="116"/>
      <c r="C6" s="116"/>
      <c r="D6" s="116"/>
      <c r="E6" s="116"/>
      <c r="F6" s="299"/>
    </row>
    <row r="7" spans="1:8" ht="15.75" thickBot="1">
      <c r="A7" s="102" t="s">
        <v>349</v>
      </c>
      <c r="B7" s="101"/>
      <c r="C7" s="101"/>
      <c r="D7" s="101"/>
      <c r="E7" s="101"/>
      <c r="F7" s="298">
        <f>+F4-F5</f>
        <v>3290349790</v>
      </c>
      <c r="H7" s="166"/>
    </row>
    <row r="8" spans="1:8" ht="15.75" thickTop="1">
      <c r="A8" s="101"/>
      <c r="B8" s="101"/>
      <c r="C8" s="101"/>
      <c r="D8" s="101"/>
      <c r="E8" s="101"/>
      <c r="F8" s="101"/>
    </row>
    <row r="9" spans="1:8">
      <c r="A9" s="102" t="s">
        <v>350</v>
      </c>
      <c r="B9" s="101"/>
      <c r="C9" s="101"/>
      <c r="D9" s="101"/>
      <c r="E9" s="101"/>
      <c r="F9" s="101"/>
    </row>
    <row r="10" spans="1:8">
      <c r="A10" s="102" t="s">
        <v>351</v>
      </c>
      <c r="B10" s="101"/>
      <c r="C10" s="101"/>
      <c r="D10" s="101"/>
      <c r="E10" s="101"/>
      <c r="F10" s="104">
        <f>F5/F4</f>
        <v>0.25386344520090048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E11"/>
  <sheetViews>
    <sheetView workbookViewId="0">
      <selection activeCell="A10" sqref="A10:G10"/>
    </sheetView>
  </sheetViews>
  <sheetFormatPr defaultRowHeight="15"/>
  <cols>
    <col min="1" max="1" width="25.42578125" customWidth="1"/>
    <col min="2" max="2" width="2.7109375" customWidth="1"/>
    <col min="3" max="3" width="13" customWidth="1"/>
    <col min="4" max="4" width="2.7109375" customWidth="1"/>
    <col min="5" max="6" width="13" customWidth="1"/>
  </cols>
  <sheetData>
    <row r="1" spans="1:5">
      <c r="A1" s="105"/>
      <c r="B1" s="105"/>
      <c r="C1" s="117" t="s">
        <v>375</v>
      </c>
      <c r="D1" s="116"/>
      <c r="E1" s="107" t="s">
        <v>363</v>
      </c>
    </row>
    <row r="2" spans="1:5">
      <c r="A2" s="110" t="s">
        <v>352</v>
      </c>
      <c r="B2" s="105"/>
      <c r="C2" s="115" t="s">
        <v>376</v>
      </c>
      <c r="D2" s="116"/>
      <c r="E2" s="110" t="s">
        <v>353</v>
      </c>
    </row>
    <row r="3" spans="1:5">
      <c r="A3" s="106" t="s">
        <v>354</v>
      </c>
      <c r="B3" s="105"/>
      <c r="C3" s="120">
        <v>0.2</v>
      </c>
      <c r="D3" s="116"/>
      <c r="E3" s="176">
        <v>4.0000000000000001E-3</v>
      </c>
    </row>
    <row r="4" spans="1:5">
      <c r="A4" s="106" t="s">
        <v>355</v>
      </c>
      <c r="B4" s="105"/>
      <c r="C4" s="120">
        <v>0.2</v>
      </c>
      <c r="D4" s="116"/>
      <c r="E4" s="176">
        <v>6.6000000000000003E-2</v>
      </c>
    </row>
    <row r="5" spans="1:5">
      <c r="A5" s="106" t="s">
        <v>356</v>
      </c>
      <c r="B5" s="105"/>
      <c r="C5" s="120">
        <v>0.15</v>
      </c>
      <c r="D5" s="116"/>
      <c r="E5" s="176">
        <v>9.1999999999999998E-2</v>
      </c>
    </row>
    <row r="6" spans="1:5">
      <c r="A6" s="106" t="s">
        <v>357</v>
      </c>
      <c r="B6" s="105"/>
      <c r="C6" s="120">
        <v>0.12</v>
      </c>
      <c r="D6" s="116"/>
      <c r="E6" s="176">
        <v>7.2999999999999995E-2</v>
      </c>
    </row>
    <row r="7" spans="1:5">
      <c r="A7" s="106" t="s">
        <v>358</v>
      </c>
      <c r="B7" s="105"/>
      <c r="C7" s="120">
        <v>0.1</v>
      </c>
      <c r="D7" s="116"/>
      <c r="E7" s="176">
        <v>0.106</v>
      </c>
    </row>
    <row r="8" spans="1:5">
      <c r="A8" s="106" t="s">
        <v>359</v>
      </c>
      <c r="B8" s="105"/>
      <c r="C8" s="120">
        <v>0.1</v>
      </c>
      <c r="D8" s="116"/>
      <c r="E8" s="176">
        <v>3.1E-2</v>
      </c>
    </row>
    <row r="9" spans="1:5">
      <c r="A9" s="106" t="s">
        <v>360</v>
      </c>
      <c r="B9" s="105"/>
      <c r="C9" s="120">
        <v>0.05</v>
      </c>
      <c r="D9" s="116"/>
      <c r="E9" s="176">
        <v>3.6999999999999998E-2</v>
      </c>
    </row>
    <row r="10" spans="1:5">
      <c r="A10" s="106" t="s">
        <v>361</v>
      </c>
      <c r="B10" s="105"/>
      <c r="C10" s="120">
        <v>0.05</v>
      </c>
      <c r="D10" s="116"/>
      <c r="E10" s="176">
        <v>2.5000000000000001E-2</v>
      </c>
    </row>
    <row r="11" spans="1:5">
      <c r="A11" s="108" t="s">
        <v>362</v>
      </c>
      <c r="B11" s="109"/>
      <c r="C11" s="120">
        <v>0.03</v>
      </c>
      <c r="D11" s="109"/>
      <c r="E11" s="176">
        <v>6.6000000000000003E-2</v>
      </c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2:H23"/>
  <sheetViews>
    <sheetView workbookViewId="0">
      <selection activeCell="A10" sqref="A10:G10"/>
    </sheetView>
  </sheetViews>
  <sheetFormatPr defaultRowHeight="15"/>
  <cols>
    <col min="1" max="1" width="2.28515625" customWidth="1"/>
    <col min="2" max="2" width="15.7109375" customWidth="1"/>
    <col min="3" max="3" width="2.28515625" customWidth="1"/>
    <col min="4" max="4" width="15.7109375" customWidth="1"/>
    <col min="5" max="5" width="2.28515625" customWidth="1"/>
    <col min="6" max="6" width="15.7109375" customWidth="1"/>
  </cols>
  <sheetData>
    <row r="2" spans="2:8">
      <c r="B2" s="117" t="s">
        <v>364</v>
      </c>
      <c r="C2" s="116"/>
      <c r="D2" s="117" t="s">
        <v>365</v>
      </c>
      <c r="E2" s="116"/>
      <c r="F2" s="117" t="s">
        <v>366</v>
      </c>
    </row>
    <row r="3" spans="2:8">
      <c r="B3" s="275" t="s">
        <v>487</v>
      </c>
      <c r="C3" s="116"/>
      <c r="D3" s="275" t="s">
        <v>485</v>
      </c>
      <c r="E3" s="116"/>
      <c r="F3" s="275" t="s">
        <v>486</v>
      </c>
    </row>
    <row r="4" spans="2:8">
      <c r="B4" s="118">
        <v>4134247608</v>
      </c>
      <c r="C4" s="116"/>
      <c r="D4" s="118">
        <v>3290349790</v>
      </c>
      <c r="E4" s="116"/>
      <c r="F4" s="118">
        <v>2633889896</v>
      </c>
    </row>
    <row r="7" spans="2:8">
      <c r="B7" s="112"/>
      <c r="C7" s="111"/>
      <c r="D7" s="112" t="s">
        <v>367</v>
      </c>
      <c r="E7" s="111"/>
      <c r="F7" s="112"/>
    </row>
    <row r="8" spans="2:8">
      <c r="B8" s="115" t="s">
        <v>364</v>
      </c>
      <c r="C8" s="111"/>
      <c r="D8" s="114" t="s">
        <v>368</v>
      </c>
      <c r="E8" s="111"/>
      <c r="F8" s="115" t="s">
        <v>366</v>
      </c>
    </row>
    <row r="9" spans="2:8">
      <c r="B9" s="113">
        <v>2646501227</v>
      </c>
      <c r="C9" s="111"/>
      <c r="D9" s="113">
        <f>+D4</f>
        <v>3290349790</v>
      </c>
      <c r="E9" s="111"/>
      <c r="F9" s="113">
        <v>3808841141</v>
      </c>
    </row>
    <row r="16" spans="2:8">
      <c r="B16" s="117" t="s">
        <v>364</v>
      </c>
      <c r="C16" s="116"/>
      <c r="D16" s="117" t="s">
        <v>365</v>
      </c>
      <c r="E16" s="116"/>
      <c r="F16" s="117" t="s">
        <v>366</v>
      </c>
      <c r="H16" t="s">
        <v>389</v>
      </c>
    </row>
    <row r="17" spans="2:6">
      <c r="B17" s="275" t="s">
        <v>487</v>
      </c>
      <c r="C17" s="116"/>
      <c r="D17" s="275" t="s">
        <v>485</v>
      </c>
      <c r="E17" s="116"/>
      <c r="F17" s="275" t="s">
        <v>486</v>
      </c>
    </row>
    <row r="18" spans="2:6">
      <c r="B18" s="118">
        <v>1506686</v>
      </c>
      <c r="C18" s="116"/>
      <c r="D18" s="118">
        <v>1242132</v>
      </c>
      <c r="E18" s="116"/>
      <c r="F18" s="118">
        <v>1034565</v>
      </c>
    </row>
    <row r="21" spans="2:6">
      <c r="B21" s="117"/>
      <c r="C21" s="116"/>
      <c r="D21" s="117" t="s">
        <v>367</v>
      </c>
      <c r="E21" s="116"/>
      <c r="F21" s="117"/>
    </row>
    <row r="22" spans="2:6">
      <c r="B22" s="115" t="s">
        <v>364</v>
      </c>
      <c r="C22" s="116"/>
      <c r="D22" s="119" t="s">
        <v>368</v>
      </c>
      <c r="E22" s="116"/>
      <c r="F22" s="115" t="s">
        <v>366</v>
      </c>
    </row>
    <row r="23" spans="2:6">
      <c r="B23" s="113">
        <v>1056518</v>
      </c>
      <c r="C23" s="116"/>
      <c r="D23" s="118">
        <v>1242132</v>
      </c>
      <c r="E23" s="116"/>
      <c r="F23" s="113">
        <v>1386864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H25"/>
  <sheetViews>
    <sheetView workbookViewId="0">
      <selection activeCell="A10" sqref="A10:G10"/>
    </sheetView>
  </sheetViews>
  <sheetFormatPr defaultColWidth="8.7109375" defaultRowHeight="12.75"/>
  <cols>
    <col min="1" max="4" width="2.42578125" style="36" customWidth="1"/>
    <col min="5" max="5" width="45.42578125" style="36" customWidth="1"/>
    <col min="6" max="6" width="16.7109375" style="36" bestFit="1" customWidth="1"/>
    <col min="7" max="7" width="10.42578125" style="36" bestFit="1" customWidth="1"/>
    <col min="8" max="16384" width="8.7109375" style="36"/>
  </cols>
  <sheetData>
    <row r="1" spans="1:8" ht="13.5" customHeight="1">
      <c r="A1" s="36" t="s">
        <v>405</v>
      </c>
      <c r="F1" s="74">
        <v>171993017</v>
      </c>
      <c r="H1" s="36" t="s">
        <v>387</v>
      </c>
    </row>
    <row r="2" spans="1:8" ht="13.5" customHeight="1">
      <c r="A2" s="36" t="s">
        <v>307</v>
      </c>
      <c r="F2" s="73">
        <v>147282724</v>
      </c>
    </row>
    <row r="3" spans="1:8" s="193" customFormat="1" ht="13.5" customHeight="1">
      <c r="A3" s="193" t="s">
        <v>427</v>
      </c>
      <c r="F3" s="194">
        <v>802116</v>
      </c>
    </row>
    <row r="4" spans="1:8" ht="13.5" customHeight="1">
      <c r="A4" s="36" t="s">
        <v>305</v>
      </c>
    </row>
    <row r="5" spans="1:8" ht="13.5" customHeight="1">
      <c r="B5" s="36" t="s">
        <v>310</v>
      </c>
      <c r="F5" s="73">
        <v>9660492</v>
      </c>
    </row>
    <row r="6" spans="1:8" ht="13.5" customHeight="1">
      <c r="A6" s="36" t="s">
        <v>311</v>
      </c>
      <c r="F6" s="73"/>
    </row>
    <row r="7" spans="1:8" ht="13.5" customHeight="1">
      <c r="B7" s="36" t="s">
        <v>312</v>
      </c>
      <c r="F7" s="73">
        <v>-149532075</v>
      </c>
    </row>
    <row r="8" spans="1:8" ht="13.5" customHeight="1">
      <c r="A8" s="36" t="s">
        <v>308</v>
      </c>
      <c r="F8" s="198">
        <v>-48292552</v>
      </c>
    </row>
    <row r="9" spans="1:8" ht="13.5" customHeight="1">
      <c r="A9" s="36" t="s">
        <v>309</v>
      </c>
      <c r="F9" s="198">
        <v>-62764491</v>
      </c>
    </row>
    <row r="10" spans="1:8" ht="13.5" customHeight="1">
      <c r="A10" s="36" t="s">
        <v>306</v>
      </c>
      <c r="F10" s="198"/>
    </row>
    <row r="11" spans="1:8" ht="13.5" customHeight="1">
      <c r="B11" s="36" t="s">
        <v>313</v>
      </c>
      <c r="F11" s="198">
        <v>-30994543</v>
      </c>
    </row>
    <row r="12" spans="1:8" ht="13.5" customHeight="1">
      <c r="A12" s="36" t="s">
        <v>407</v>
      </c>
      <c r="F12" s="198">
        <f>3049460-32638622</f>
        <v>-29589162</v>
      </c>
    </row>
    <row r="13" spans="1:8" s="242" customFormat="1" ht="13.5" customHeight="1">
      <c r="A13" s="242" t="s">
        <v>488</v>
      </c>
      <c r="F13" s="198"/>
    </row>
    <row r="14" spans="1:8" s="242" customFormat="1" ht="13.5" customHeight="1">
      <c r="B14" s="242" t="s">
        <v>406</v>
      </c>
      <c r="F14" s="198">
        <v>165517209</v>
      </c>
    </row>
    <row r="15" spans="1:8" ht="13.5" customHeight="1">
      <c r="A15" s="36" t="s">
        <v>390</v>
      </c>
      <c r="F15" s="198"/>
    </row>
    <row r="16" spans="1:8" ht="13.5" customHeight="1">
      <c r="B16" s="36" t="s">
        <v>406</v>
      </c>
      <c r="F16" s="314">
        <v>-528425875</v>
      </c>
    </row>
    <row r="17" spans="1:8" s="242" customFormat="1" ht="13.5" customHeight="1">
      <c r="F17" s="278"/>
    </row>
    <row r="18" spans="1:8" ht="13.5" customHeight="1" thickBot="1">
      <c r="A18" s="36" t="s">
        <v>404</v>
      </c>
      <c r="F18" s="283">
        <f>SUM(F1:F16)</f>
        <v>-354343140</v>
      </c>
      <c r="H18" s="159"/>
    </row>
    <row r="19" spans="1:8" ht="13.5" customHeight="1" thickTop="1"/>
    <row r="20" spans="1:8" ht="13.5" customHeight="1"/>
    <row r="25" spans="1:8">
      <c r="F25" s="208">
        <f>+F18-'OPEB Amounts_Report'!O323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AE62"/>
  <sheetViews>
    <sheetView workbookViewId="0">
      <selection activeCell="A10" sqref="A10:G10"/>
    </sheetView>
  </sheetViews>
  <sheetFormatPr defaultColWidth="8.7109375" defaultRowHeight="12.75"/>
  <cols>
    <col min="1" max="1" width="2.7109375" style="36" customWidth="1"/>
    <col min="2" max="3" width="2.42578125" style="36" customWidth="1"/>
    <col min="4" max="4" width="26" style="36" customWidth="1"/>
    <col min="5" max="5" width="2.28515625" style="36" customWidth="1"/>
    <col min="6" max="6" width="7.5703125" style="36" bestFit="1" customWidth="1"/>
    <col min="7" max="7" width="1.42578125" style="242" customWidth="1"/>
    <col min="8" max="8" width="11.5703125" style="36" customWidth="1"/>
    <col min="9" max="9" width="1.42578125" style="36" customWidth="1"/>
    <col min="10" max="10" width="15.28515625" style="36" bestFit="1" customWidth="1"/>
    <col min="11" max="11" width="1.42578125" style="242" customWidth="1"/>
    <col min="12" max="12" width="15.28515625" style="36" bestFit="1" customWidth="1"/>
    <col min="13" max="13" width="1.42578125" style="241" customWidth="1"/>
    <col min="14" max="14" width="14.28515625" style="36" bestFit="1" customWidth="1"/>
    <col min="15" max="15" width="1.42578125" style="241" customWidth="1"/>
    <col min="16" max="16" width="16.140625" style="36" customWidth="1"/>
    <col min="17" max="17" width="8.7109375" style="36"/>
    <col min="18" max="18" width="15" style="36" bestFit="1" customWidth="1"/>
    <col min="19" max="19" width="3" style="36" customWidth="1"/>
    <col min="20" max="22" width="8.7109375" style="36"/>
    <col min="23" max="23" width="4.28515625" style="36" customWidth="1"/>
    <col min="24" max="24" width="1.5703125" style="36" customWidth="1"/>
    <col min="25" max="25" width="17" style="36" bestFit="1" customWidth="1"/>
    <col min="26" max="26" width="15.42578125" style="36" bestFit="1" customWidth="1"/>
    <col min="27" max="27" width="17.7109375" style="36" customWidth="1"/>
    <col min="28" max="28" width="14.7109375" style="36" customWidth="1"/>
    <col min="29" max="29" width="19.42578125" style="36" customWidth="1"/>
    <col min="30" max="30" width="8.7109375" style="36"/>
    <col min="31" max="31" width="15" style="36" bestFit="1" customWidth="1"/>
    <col min="32" max="16384" width="8.7109375" style="36"/>
  </cols>
  <sheetData>
    <row r="1" spans="1:31" ht="14.1" customHeight="1">
      <c r="H1" s="80" t="s">
        <v>403</v>
      </c>
    </row>
    <row r="2" spans="1:31" ht="14.1" customHeight="1">
      <c r="A2" s="79"/>
      <c r="B2" s="79"/>
      <c r="C2" s="79"/>
      <c r="D2" s="79"/>
      <c r="E2" s="79"/>
      <c r="F2" s="80" t="s">
        <v>314</v>
      </c>
      <c r="G2" s="262"/>
      <c r="H2" s="80" t="s">
        <v>316</v>
      </c>
      <c r="I2" s="79"/>
      <c r="J2" s="81" t="s">
        <v>318</v>
      </c>
      <c r="K2" s="262"/>
      <c r="L2" s="82" t="s">
        <v>325</v>
      </c>
      <c r="M2" s="265"/>
      <c r="N2" s="79"/>
      <c r="O2" s="265"/>
      <c r="P2" s="80" t="s">
        <v>327</v>
      </c>
    </row>
    <row r="3" spans="1:31" ht="14.1" customHeight="1">
      <c r="A3" s="83" t="s">
        <v>377</v>
      </c>
      <c r="B3" s="83"/>
      <c r="C3" s="83"/>
      <c r="D3" s="83"/>
      <c r="E3" s="84"/>
      <c r="F3" s="85" t="s">
        <v>315</v>
      </c>
      <c r="G3" s="262"/>
      <c r="H3" s="85" t="s">
        <v>317</v>
      </c>
      <c r="I3" s="79"/>
      <c r="J3" s="86" t="s">
        <v>319</v>
      </c>
      <c r="K3" s="262"/>
      <c r="L3" s="85" t="s">
        <v>326</v>
      </c>
      <c r="M3" s="265"/>
      <c r="N3" s="85" t="s">
        <v>316</v>
      </c>
      <c r="O3" s="265"/>
      <c r="P3" s="85" t="s">
        <v>319</v>
      </c>
    </row>
    <row r="4" spans="1:31" ht="14.1" customHeight="1">
      <c r="A4" s="34"/>
      <c r="B4" s="34"/>
      <c r="C4" s="34"/>
      <c r="D4" s="34"/>
      <c r="E4" s="34"/>
      <c r="F4" s="77"/>
      <c r="H4" s="77"/>
      <c r="J4" s="78"/>
      <c r="Y4" s="242">
        <v>2022</v>
      </c>
      <c r="Z4" s="242">
        <v>2023</v>
      </c>
      <c r="AA4" s="242">
        <v>2024</v>
      </c>
      <c r="AB4" s="242">
        <v>2025</v>
      </c>
      <c r="AC4" s="193">
        <v>2026</v>
      </c>
      <c r="AE4" s="36" t="s">
        <v>385</v>
      </c>
    </row>
    <row r="5" spans="1:31" ht="14.1" customHeight="1">
      <c r="A5" s="242" t="s">
        <v>321</v>
      </c>
      <c r="B5" s="242"/>
    </row>
    <row r="6" spans="1:31" ht="14.1" customHeight="1">
      <c r="A6" s="242"/>
      <c r="B6" s="242" t="s">
        <v>322</v>
      </c>
      <c r="F6" s="259">
        <v>2021</v>
      </c>
      <c r="H6" s="259">
        <v>5.98</v>
      </c>
      <c r="J6" s="289">
        <v>0</v>
      </c>
      <c r="L6" s="289">
        <v>57769743</v>
      </c>
      <c r="M6" s="294"/>
      <c r="N6" s="289">
        <v>-9660492</v>
      </c>
      <c r="O6" s="294"/>
      <c r="P6" s="289">
        <f>SUM(J6:N6)</f>
        <v>48109251</v>
      </c>
      <c r="Y6" s="194">
        <f>N6</f>
        <v>-9660492</v>
      </c>
      <c r="Z6" s="200">
        <f>+Y6</f>
        <v>-9660492</v>
      </c>
      <c r="AA6" s="200">
        <f>+Z6</f>
        <v>-9660492</v>
      </c>
      <c r="AB6" s="194">
        <f>+AA6</f>
        <v>-9660492</v>
      </c>
      <c r="AC6" s="256">
        <f>+AB6*0.98-1</f>
        <v>-9467283.1600000001</v>
      </c>
      <c r="AD6" s="193"/>
      <c r="AE6" s="75">
        <f>SUM(P6:AC6)</f>
        <v>-0.16000000014901161</v>
      </c>
    </row>
    <row r="7" spans="1:31" ht="14.1" customHeight="1"/>
    <row r="8" spans="1:31" ht="14.1" customHeight="1">
      <c r="A8" s="36" t="s">
        <v>320</v>
      </c>
      <c r="F8" s="259">
        <v>2020</v>
      </c>
      <c r="H8" s="259">
        <v>4.9800000000000004</v>
      </c>
      <c r="I8" s="242"/>
      <c r="J8" s="270">
        <v>824275701</v>
      </c>
      <c r="L8" s="290">
        <v>0</v>
      </c>
      <c r="M8" s="292"/>
      <c r="N8" s="270">
        <v>-165517209</v>
      </c>
      <c r="O8" s="292"/>
      <c r="P8" s="270">
        <f>SUM(J8:N8)</f>
        <v>658758492</v>
      </c>
      <c r="Y8" s="194">
        <f>N8</f>
        <v>-165517209</v>
      </c>
      <c r="Z8" s="200">
        <f>+Y8</f>
        <v>-165517209</v>
      </c>
      <c r="AA8" s="200">
        <f>+Z8</f>
        <v>-165517209</v>
      </c>
      <c r="AB8" s="194">
        <f>+AA8*0.98</f>
        <v>-162206864.81999999</v>
      </c>
      <c r="AC8" s="193"/>
      <c r="AE8" s="258">
        <f>SUM(P8:AC8)</f>
        <v>0.18000000715255737</v>
      </c>
    </row>
    <row r="9" spans="1:31" ht="14.1" customHeight="1">
      <c r="J9" s="175"/>
      <c r="L9" s="34"/>
      <c r="N9" s="34"/>
      <c r="P9" s="34"/>
    </row>
    <row r="10" spans="1:31" ht="14.1" customHeight="1" thickBot="1">
      <c r="A10" s="36" t="s">
        <v>439</v>
      </c>
      <c r="J10" s="174">
        <f>SUM(J3:J9)</f>
        <v>824275701</v>
      </c>
      <c r="L10" s="174">
        <f>SUM(L3:L9)</f>
        <v>57769743</v>
      </c>
      <c r="M10" s="189"/>
      <c r="N10" s="174">
        <f>SUM(N3:N9)</f>
        <v>-175177701</v>
      </c>
      <c r="O10" s="189"/>
      <c r="P10" s="174">
        <f>SUM(P3:P9)</f>
        <v>706867743</v>
      </c>
      <c r="Q10" s="160"/>
      <c r="R10" s="208">
        <f>SUM('OPEB Amounts_Report'!D323:E323)-P10</f>
        <v>0</v>
      </c>
      <c r="Y10" s="200">
        <f>SUM(Y6:Y8)</f>
        <v>-175177701</v>
      </c>
      <c r="Z10" s="286">
        <f>SUM(Z6:Z8)</f>
        <v>-175177701</v>
      </c>
      <c r="AA10" s="286">
        <f>SUM(AA6:AA8)</f>
        <v>-175177701</v>
      </c>
      <c r="AB10" s="286">
        <f>SUM(AB6:AB8)</f>
        <v>-171867356.81999999</v>
      </c>
      <c r="AC10" s="286">
        <f>SUM(AC6:AC8)</f>
        <v>-9467283.1600000001</v>
      </c>
    </row>
    <row r="11" spans="1:31" ht="13.5" thickTop="1"/>
    <row r="13" spans="1:31" s="242" customFormat="1">
      <c r="M13" s="241"/>
      <c r="O13" s="241"/>
    </row>
    <row r="14" spans="1:31" s="242" customFormat="1" ht="14.1" customHeight="1">
      <c r="H14" s="263" t="s">
        <v>403</v>
      </c>
      <c r="M14" s="241"/>
      <c r="O14" s="241"/>
    </row>
    <row r="15" spans="1:31" s="242" customFormat="1" ht="14.1" customHeight="1">
      <c r="A15" s="262"/>
      <c r="B15" s="262"/>
      <c r="C15" s="262"/>
      <c r="D15" s="262"/>
      <c r="E15" s="262"/>
      <c r="F15" s="263" t="s">
        <v>314</v>
      </c>
      <c r="G15" s="262"/>
      <c r="H15" s="263" t="s">
        <v>316</v>
      </c>
      <c r="I15" s="262"/>
      <c r="J15" s="264" t="s">
        <v>318</v>
      </c>
      <c r="K15" s="262"/>
      <c r="L15" s="265" t="s">
        <v>325</v>
      </c>
      <c r="M15" s="265"/>
      <c r="N15" s="262"/>
      <c r="O15" s="265"/>
      <c r="P15" s="263" t="s">
        <v>327</v>
      </c>
    </row>
    <row r="16" spans="1:31" s="242" customFormat="1" ht="14.1" customHeight="1">
      <c r="A16" s="266" t="s">
        <v>296</v>
      </c>
      <c r="B16" s="266"/>
      <c r="C16" s="266"/>
      <c r="D16" s="266"/>
      <c r="E16" s="267"/>
      <c r="F16" s="268" t="s">
        <v>315</v>
      </c>
      <c r="G16" s="262"/>
      <c r="H16" s="268" t="s">
        <v>317</v>
      </c>
      <c r="I16" s="262"/>
      <c r="J16" s="269" t="s">
        <v>319</v>
      </c>
      <c r="K16" s="262"/>
      <c r="L16" s="268" t="s">
        <v>326</v>
      </c>
      <c r="M16" s="265"/>
      <c r="N16" s="268" t="s">
        <v>316</v>
      </c>
      <c r="O16" s="265"/>
      <c r="P16" s="268" t="s">
        <v>319</v>
      </c>
    </row>
    <row r="17" spans="1:31" s="242" customFormat="1" ht="14.1" customHeight="1">
      <c r="A17" s="241"/>
      <c r="B17" s="241"/>
      <c r="C17" s="241"/>
      <c r="D17" s="241"/>
      <c r="E17" s="241"/>
      <c r="F17" s="260"/>
      <c r="H17" s="260"/>
      <c r="J17" s="261"/>
      <c r="M17" s="241"/>
      <c r="O17" s="241"/>
      <c r="Y17" s="242">
        <v>2022</v>
      </c>
      <c r="Z17" s="242">
        <v>2023</v>
      </c>
      <c r="AA17" s="242">
        <v>2024</v>
      </c>
      <c r="AB17" s="242">
        <v>2025</v>
      </c>
      <c r="AC17" s="242">
        <v>2026</v>
      </c>
    </row>
    <row r="18" spans="1:31" s="242" customFormat="1" ht="14.1" customHeight="1">
      <c r="A18" s="242" t="s">
        <v>321</v>
      </c>
      <c r="M18" s="241"/>
      <c r="O18" s="241"/>
    </row>
    <row r="19" spans="1:31" s="242" customFormat="1" ht="14.1" customHeight="1">
      <c r="B19" s="242" t="s">
        <v>322</v>
      </c>
      <c r="F19" s="259">
        <v>2017</v>
      </c>
      <c r="H19" s="315">
        <v>1.76</v>
      </c>
      <c r="J19" s="257">
        <v>64299743</v>
      </c>
      <c r="L19" s="293">
        <v>0</v>
      </c>
      <c r="M19" s="295"/>
      <c r="N19" s="257">
        <v>-36533944</v>
      </c>
      <c r="O19" s="295"/>
      <c r="P19" s="258">
        <f>SUM(J19:N19)</f>
        <v>27765799</v>
      </c>
      <c r="Y19" s="256">
        <f>+N19*0.76-2</f>
        <v>-27765799.440000001</v>
      </c>
      <c r="Z19" s="286"/>
      <c r="AB19" s="256"/>
      <c r="AE19" s="258">
        <f>SUM(P19:AC19)</f>
        <v>-0.44000000134110451</v>
      </c>
    </row>
    <row r="20" spans="1:31" s="242" customFormat="1" ht="14.1" customHeight="1">
      <c r="F20" s="259">
        <v>2018</v>
      </c>
      <c r="H20" s="315">
        <v>2.72</v>
      </c>
      <c r="J20" s="291">
        <v>69200270</v>
      </c>
      <c r="K20" s="317"/>
      <c r="L20" s="291">
        <v>0</v>
      </c>
      <c r="M20" s="292"/>
      <c r="N20" s="291">
        <v>-25441276</v>
      </c>
      <c r="O20" s="292"/>
      <c r="P20" s="291">
        <f>SUM(J20:N20)</f>
        <v>43758994</v>
      </c>
      <c r="Y20" s="256">
        <f>+N20</f>
        <v>-25441276</v>
      </c>
      <c r="Z20" s="286">
        <f>+Y20*0.72+1</f>
        <v>-18317717.719999999</v>
      </c>
      <c r="AA20" s="286"/>
      <c r="AE20" s="258">
        <f>SUM(P20:AC20)</f>
        <v>0.2800000011920929</v>
      </c>
    </row>
    <row r="21" spans="1:31" s="242" customFormat="1" ht="14.1" customHeight="1">
      <c r="F21" s="259">
        <v>2019</v>
      </c>
      <c r="H21" s="315">
        <v>3.64</v>
      </c>
      <c r="J21" s="291">
        <v>486751522</v>
      </c>
      <c r="K21" s="317"/>
      <c r="L21" s="291">
        <v>0</v>
      </c>
      <c r="M21" s="292"/>
      <c r="N21" s="291">
        <v>-133722946</v>
      </c>
      <c r="O21" s="292"/>
      <c r="P21" s="291">
        <f>SUM(J21:N21)</f>
        <v>353028576</v>
      </c>
      <c r="T21" s="286"/>
      <c r="Y21" s="256">
        <f>+N21</f>
        <v>-133722946</v>
      </c>
      <c r="Z21" s="286">
        <f>+Y21</f>
        <v>-133722946</v>
      </c>
      <c r="AA21" s="286">
        <f>+Z21*0.64+1</f>
        <v>-85582684.439999998</v>
      </c>
      <c r="AB21" s="256"/>
      <c r="AE21" s="258">
        <f>SUM(P21:AB21)</f>
        <v>-0.43999999761581421</v>
      </c>
    </row>
    <row r="22" spans="1:31" s="242" customFormat="1" ht="14.1" customHeight="1">
      <c r="F22" s="259">
        <v>2020</v>
      </c>
      <c r="H22" s="315">
        <v>4.9800000000000004</v>
      </c>
      <c r="J22" s="291">
        <v>125362102</v>
      </c>
      <c r="K22" s="317"/>
      <c r="L22" s="291">
        <v>0</v>
      </c>
      <c r="M22" s="292"/>
      <c r="N22" s="291">
        <v>-25173113</v>
      </c>
      <c r="O22" s="292"/>
      <c r="P22" s="291">
        <f>SUM(J22:N22)</f>
        <v>100188989</v>
      </c>
      <c r="Y22" s="256">
        <f>+N22</f>
        <v>-25173113</v>
      </c>
      <c r="Z22" s="286">
        <f>+N22</f>
        <v>-25173113</v>
      </c>
      <c r="AA22" s="286">
        <f>+N22+1</f>
        <v>-25173112</v>
      </c>
      <c r="AB22" s="286">
        <f>+N22*0.98</f>
        <v>-24669650.739999998</v>
      </c>
      <c r="AC22" s="256">
        <v>0</v>
      </c>
      <c r="AE22" s="258">
        <f>SUM(P22:AC22)</f>
        <v>0.26000000163912773</v>
      </c>
    </row>
    <row r="23" spans="1:31" s="242" customFormat="1" ht="14.1" customHeight="1">
      <c r="F23" s="259"/>
      <c r="H23" s="315"/>
      <c r="J23" s="291"/>
      <c r="K23" s="317"/>
      <c r="L23" s="291"/>
      <c r="M23" s="292"/>
      <c r="N23" s="291"/>
      <c r="O23" s="292"/>
      <c r="P23" s="291"/>
      <c r="Y23" s="256"/>
      <c r="Z23" s="286"/>
      <c r="AA23" s="286"/>
      <c r="AB23" s="286"/>
      <c r="AC23" s="256"/>
      <c r="AE23" s="258"/>
    </row>
    <row r="24" spans="1:31" s="242" customFormat="1" ht="14.1" customHeight="1">
      <c r="A24" s="242" t="s">
        <v>498</v>
      </c>
      <c r="F24" s="259"/>
      <c r="H24" s="259"/>
      <c r="J24" s="291"/>
      <c r="K24" s="317"/>
      <c r="L24" s="291"/>
      <c r="M24" s="292"/>
      <c r="N24" s="291"/>
      <c r="O24" s="292"/>
      <c r="P24" s="291"/>
      <c r="Y24" s="256"/>
      <c r="Z24" s="286"/>
      <c r="AA24" s="286"/>
      <c r="AB24" s="286"/>
      <c r="AC24" s="256"/>
      <c r="AE24" s="258"/>
    </row>
    <row r="25" spans="1:31" s="242" customFormat="1" ht="14.1" customHeight="1">
      <c r="A25" s="36"/>
      <c r="B25" s="36" t="s">
        <v>323</v>
      </c>
      <c r="C25" s="36"/>
      <c r="D25" s="36"/>
      <c r="E25" s="36"/>
      <c r="F25" s="76">
        <v>2017</v>
      </c>
      <c r="H25" s="323">
        <v>1</v>
      </c>
      <c r="I25" s="36"/>
      <c r="J25" s="291">
        <v>16297809</v>
      </c>
      <c r="K25" s="317"/>
      <c r="L25" s="291">
        <v>0</v>
      </c>
      <c r="M25" s="292"/>
      <c r="N25" s="291">
        <v>-16297809</v>
      </c>
      <c r="O25" s="292"/>
      <c r="P25" s="291">
        <f>SUM(J25:N25)</f>
        <v>0</v>
      </c>
      <c r="Y25" s="256"/>
      <c r="Z25" s="286"/>
      <c r="AA25" s="286"/>
      <c r="AB25" s="286"/>
      <c r="AC25" s="256"/>
      <c r="AE25" s="258"/>
    </row>
    <row r="26" spans="1:31" s="242" customFormat="1" ht="14.1" customHeight="1">
      <c r="A26" s="36"/>
      <c r="B26" s="36"/>
      <c r="C26" s="36"/>
      <c r="D26" s="36"/>
      <c r="E26" s="36"/>
      <c r="F26" s="76">
        <v>2018</v>
      </c>
      <c r="H26" s="323">
        <v>2</v>
      </c>
      <c r="I26" s="36"/>
      <c r="J26" s="292">
        <v>2686210</v>
      </c>
      <c r="K26" s="317"/>
      <c r="L26" s="292">
        <v>0</v>
      </c>
      <c r="M26" s="292"/>
      <c r="N26" s="292">
        <v>-1343105</v>
      </c>
      <c r="O26" s="292"/>
      <c r="P26" s="292">
        <f>SUM(J26:N26)</f>
        <v>1343105</v>
      </c>
      <c r="Y26" s="256">
        <f>+N26</f>
        <v>-1343105</v>
      </c>
      <c r="Z26" s="286"/>
      <c r="AA26" s="286"/>
      <c r="AB26" s="286"/>
      <c r="AC26" s="256"/>
      <c r="AE26" s="258">
        <f t="shared" ref="AE26:AE29" si="0">SUM(P26:AC26)</f>
        <v>0</v>
      </c>
    </row>
    <row r="27" spans="1:31" s="242" customFormat="1" ht="14.1" customHeight="1">
      <c r="A27" s="193"/>
      <c r="B27" s="193"/>
      <c r="C27" s="193"/>
      <c r="D27" s="193"/>
      <c r="E27" s="193"/>
      <c r="F27" s="195">
        <v>2019</v>
      </c>
      <c r="H27" s="323">
        <v>3</v>
      </c>
      <c r="I27" s="193"/>
      <c r="J27" s="292">
        <v>-4859036</v>
      </c>
      <c r="K27" s="317"/>
      <c r="L27" s="292">
        <v>0</v>
      </c>
      <c r="M27" s="292"/>
      <c r="N27" s="292">
        <v>1619679</v>
      </c>
      <c r="O27" s="292"/>
      <c r="P27" s="292">
        <f>SUM(J27:N27)</f>
        <v>-3239357</v>
      </c>
      <c r="Y27" s="256">
        <f>+N27</f>
        <v>1619679</v>
      </c>
      <c r="Z27" s="286">
        <f>+Y27-1</f>
        <v>1619678</v>
      </c>
      <c r="AA27" s="286"/>
      <c r="AB27" s="286"/>
      <c r="AC27" s="256"/>
      <c r="AE27" s="258">
        <f t="shared" si="0"/>
        <v>0</v>
      </c>
    </row>
    <row r="28" spans="1:31" s="242" customFormat="1" ht="14.1" customHeight="1">
      <c r="F28" s="259">
        <v>2020</v>
      </c>
      <c r="G28" s="241"/>
      <c r="H28" s="323">
        <v>4</v>
      </c>
      <c r="I28" s="241"/>
      <c r="J28" s="292">
        <v>-37022431</v>
      </c>
      <c r="K28" s="318"/>
      <c r="L28" s="292">
        <v>0</v>
      </c>
      <c r="M28" s="292"/>
      <c r="N28" s="292">
        <v>9255608</v>
      </c>
      <c r="O28" s="292"/>
      <c r="P28" s="292">
        <f>SUM(J28:N28)</f>
        <v>-27766823</v>
      </c>
      <c r="Y28" s="256">
        <f>+N28</f>
        <v>9255608</v>
      </c>
      <c r="Z28" s="286">
        <f>+Y28</f>
        <v>9255608</v>
      </c>
      <c r="AA28" s="286">
        <f>+Z28-1</f>
        <v>9255607</v>
      </c>
      <c r="AB28" s="286"/>
      <c r="AC28" s="256"/>
      <c r="AE28" s="258">
        <f t="shared" si="0"/>
        <v>0</v>
      </c>
    </row>
    <row r="29" spans="1:31" s="242" customFormat="1" ht="14.1" customHeight="1">
      <c r="F29" s="259">
        <v>2021</v>
      </c>
      <c r="G29" s="241"/>
      <c r="H29" s="323">
        <v>5</v>
      </c>
      <c r="I29" s="241"/>
      <c r="J29" s="292">
        <v>0</v>
      </c>
      <c r="K29" s="318"/>
      <c r="L29" s="292">
        <v>154972713</v>
      </c>
      <c r="M29" s="292"/>
      <c r="N29" s="292">
        <f>-L29/5</f>
        <v>-30994542.600000001</v>
      </c>
      <c r="O29" s="292"/>
      <c r="P29" s="292">
        <f>SUM(J29:N29)</f>
        <v>123978170.40000001</v>
      </c>
      <c r="Y29" s="256">
        <f>+N29</f>
        <v>-30994542.600000001</v>
      </c>
      <c r="Z29" s="286">
        <f>+Y29</f>
        <v>-30994542.600000001</v>
      </c>
      <c r="AA29" s="286">
        <f>+Z29</f>
        <v>-30994542.600000001</v>
      </c>
      <c r="AB29" s="286">
        <f>+AA29</f>
        <v>-30994542.600000001</v>
      </c>
      <c r="AC29" s="256"/>
      <c r="AE29" s="258">
        <f t="shared" si="0"/>
        <v>0</v>
      </c>
    </row>
    <row r="30" spans="1:31" s="242" customFormat="1" ht="14.1" customHeight="1">
      <c r="F30" s="259"/>
      <c r="H30" s="259"/>
      <c r="J30" s="291"/>
      <c r="K30" s="317"/>
      <c r="L30" s="291"/>
      <c r="M30" s="292"/>
      <c r="N30" s="291"/>
      <c r="O30" s="292"/>
      <c r="P30" s="291"/>
      <c r="Y30" s="256"/>
      <c r="Z30" s="286"/>
      <c r="AA30" s="286"/>
      <c r="AB30" s="286"/>
      <c r="AC30" s="256"/>
      <c r="AE30" s="258"/>
    </row>
    <row r="31" spans="1:31" s="242" customFormat="1" ht="14.1" customHeight="1">
      <c r="A31" s="242" t="s">
        <v>320</v>
      </c>
      <c r="F31" s="259">
        <v>2017</v>
      </c>
      <c r="H31" s="315">
        <v>1.76</v>
      </c>
      <c r="J31" s="291">
        <v>292953221</v>
      </c>
      <c r="K31" s="317"/>
      <c r="L31" s="291">
        <v>0</v>
      </c>
      <c r="M31" s="292"/>
      <c r="N31" s="291">
        <v>-166450695</v>
      </c>
      <c r="O31" s="292"/>
      <c r="P31" s="291">
        <f>SUM(J31:N31)</f>
        <v>126502526</v>
      </c>
      <c r="Y31" s="256">
        <f>+N31*0.76+2</f>
        <v>-126502526.2</v>
      </c>
      <c r="Z31" s="286"/>
      <c r="AB31" s="256"/>
      <c r="AE31" s="258">
        <f>SUM(P31:AC31)</f>
        <v>-0.20000000298023224</v>
      </c>
    </row>
    <row r="32" spans="1:31" s="242" customFormat="1" ht="14.1" customHeight="1">
      <c r="F32" s="259">
        <v>2018</v>
      </c>
      <c r="H32" s="315">
        <v>2.72</v>
      </c>
      <c r="J32" s="291">
        <v>107165655</v>
      </c>
      <c r="K32" s="317"/>
      <c r="L32" s="291">
        <v>0</v>
      </c>
      <c r="M32" s="292"/>
      <c r="N32" s="291">
        <v>-39399137</v>
      </c>
      <c r="O32" s="292"/>
      <c r="P32" s="291">
        <f>SUM(J32:N32)</f>
        <v>67766518</v>
      </c>
      <c r="Y32" s="256">
        <f>+N32</f>
        <v>-39399137</v>
      </c>
      <c r="Z32" s="286">
        <f>+Y32*0.72-2</f>
        <v>-28367380.640000001</v>
      </c>
      <c r="AA32" s="286"/>
      <c r="AE32" s="258">
        <f t="shared" ref="AE32:AE33" si="1">SUM(P32:AC32)</f>
        <v>0.35999999940395355</v>
      </c>
    </row>
    <row r="33" spans="1:31" s="242" customFormat="1" ht="14.1" customHeight="1">
      <c r="F33" s="315">
        <v>2019</v>
      </c>
      <c r="G33" s="188"/>
      <c r="H33" s="315">
        <v>3.64</v>
      </c>
      <c r="I33" s="188"/>
      <c r="J33" s="316">
        <v>345578456</v>
      </c>
      <c r="K33" s="319"/>
      <c r="L33" s="316">
        <v>0</v>
      </c>
      <c r="M33" s="316"/>
      <c r="N33" s="316">
        <v>-94939137</v>
      </c>
      <c r="O33" s="316"/>
      <c r="P33" s="316">
        <f>SUM(J33:N33)</f>
        <v>250639319</v>
      </c>
      <c r="Y33" s="256">
        <f>+N33</f>
        <v>-94939137</v>
      </c>
      <c r="Z33" s="286">
        <f>+Y33</f>
        <v>-94939137</v>
      </c>
      <c r="AA33" s="286">
        <f>+Z33*0.64+3</f>
        <v>-60761044.68</v>
      </c>
      <c r="AB33" s="256"/>
      <c r="AE33" s="258">
        <f t="shared" si="1"/>
        <v>0.32000000029802322</v>
      </c>
    </row>
    <row r="34" spans="1:31" s="242" customFormat="1" ht="14.1" customHeight="1">
      <c r="F34" s="259">
        <v>2021</v>
      </c>
      <c r="H34" s="315">
        <v>5.98</v>
      </c>
      <c r="J34" s="290">
        <v>0</v>
      </c>
      <c r="K34" s="317"/>
      <c r="L34" s="290">
        <v>894201807</v>
      </c>
      <c r="M34" s="292"/>
      <c r="N34" s="290">
        <v>-149532075</v>
      </c>
      <c r="O34" s="292"/>
      <c r="P34" s="290">
        <f>SUM(J34:N34)</f>
        <v>744669732</v>
      </c>
      <c r="Y34" s="270">
        <f>N34</f>
        <v>-149532075</v>
      </c>
      <c r="Z34" s="209">
        <f>+Y34</f>
        <v>-149532075</v>
      </c>
      <c r="AA34" s="209">
        <f>+Z34</f>
        <v>-149532075</v>
      </c>
      <c r="AB34" s="270">
        <f>+AA34</f>
        <v>-149532075</v>
      </c>
      <c r="AC34" s="270">
        <f>+AB34*0.98+1</f>
        <v>-146541432.5</v>
      </c>
      <c r="AE34" s="258">
        <f>SUM(P34:AC34)</f>
        <v>-0.5</v>
      </c>
    </row>
    <row r="35" spans="1:31" ht="14.1" customHeight="1">
      <c r="A35" s="242"/>
      <c r="B35" s="242"/>
      <c r="C35" s="242"/>
      <c r="D35" s="242"/>
      <c r="E35" s="242"/>
      <c r="F35" s="242"/>
      <c r="H35" s="242"/>
      <c r="I35" s="242"/>
      <c r="J35" s="284"/>
      <c r="L35" s="241"/>
      <c r="N35" s="241"/>
      <c r="P35" s="241"/>
      <c r="S35" s="192"/>
      <c r="T35" s="192"/>
      <c r="U35" s="192"/>
      <c r="V35" s="192"/>
      <c r="W35" s="192"/>
      <c r="X35" s="192"/>
      <c r="Y35" s="242"/>
      <c r="Z35" s="242"/>
      <c r="AA35" s="242"/>
      <c r="AB35" s="242"/>
      <c r="AC35" s="242"/>
    </row>
    <row r="36" spans="1:31" ht="14.1" customHeight="1" thickBot="1">
      <c r="A36" s="242" t="s">
        <v>324</v>
      </c>
      <c r="B36" s="242"/>
      <c r="C36" s="242"/>
      <c r="D36" s="242"/>
      <c r="E36" s="242"/>
      <c r="F36" s="242"/>
      <c r="H36" s="242"/>
      <c r="I36" s="242"/>
      <c r="J36" s="283">
        <f>SUM(J16:J35)</f>
        <v>1468413521</v>
      </c>
      <c r="L36" s="283">
        <f>SUM(L16:L35)</f>
        <v>1049174520</v>
      </c>
      <c r="M36" s="189"/>
      <c r="N36" s="283">
        <f>SUM(N16:N35)</f>
        <v>-708952492.60000002</v>
      </c>
      <c r="O36" s="189"/>
      <c r="P36" s="283">
        <f>SUM(P16:P35)</f>
        <v>1808635548.4000001</v>
      </c>
      <c r="R36" s="208">
        <f>SUM('OPEB Amounts_Report'!I323:K323)-P36</f>
        <v>-0.40000009536743164</v>
      </c>
      <c r="S36" s="192"/>
      <c r="T36" s="192"/>
      <c r="U36" s="192"/>
      <c r="V36" s="192"/>
      <c r="W36" s="192"/>
      <c r="X36" s="192"/>
      <c r="Y36" s="286">
        <f>SUM(Y19:Y34)</f>
        <v>-643938370.24000001</v>
      </c>
      <c r="Z36" s="286">
        <f>SUM(Z19:Z34)</f>
        <v>-470171625.95999998</v>
      </c>
      <c r="AA36" s="286">
        <f>SUM(AA19:AA34)</f>
        <v>-342787851.72000003</v>
      </c>
      <c r="AB36" s="286">
        <f>SUM(AB19:AB34)</f>
        <v>-205196268.34</v>
      </c>
      <c r="AC36" s="286">
        <f>SUM(AC19:AC34)</f>
        <v>-146541432.5</v>
      </c>
    </row>
    <row r="37" spans="1:31" ht="13.5" thickTop="1">
      <c r="A37" s="242"/>
      <c r="B37" s="242"/>
      <c r="C37" s="242"/>
      <c r="D37" s="242"/>
      <c r="E37" s="242"/>
      <c r="F37" s="242"/>
      <c r="H37" s="242"/>
      <c r="I37" s="242"/>
      <c r="J37" s="242"/>
      <c r="L37" s="242"/>
      <c r="N37" s="242"/>
      <c r="P37" s="242"/>
      <c r="S37" s="192"/>
      <c r="T37" s="192"/>
      <c r="U37" s="192"/>
      <c r="V37" s="192"/>
      <c r="W37" s="192"/>
      <c r="X37" s="192"/>
      <c r="Y37" s="192"/>
      <c r="Z37" s="192"/>
    </row>
    <row r="38" spans="1:31" s="242" customFormat="1">
      <c r="M38" s="241"/>
      <c r="O38" s="241"/>
      <c r="S38" s="241"/>
      <c r="T38" s="241"/>
      <c r="U38" s="241"/>
      <c r="V38" s="241"/>
      <c r="W38" s="241"/>
      <c r="X38" s="211" t="s">
        <v>385</v>
      </c>
      <c r="Y38" s="210">
        <f>+Y36-Y10</f>
        <v>-468760669.24000001</v>
      </c>
      <c r="Z38" s="210">
        <f>+Z36-Z10</f>
        <v>-294993924.95999998</v>
      </c>
      <c r="AA38" s="210">
        <f>+AA36-AA10</f>
        <v>-167610150.72000003</v>
      </c>
      <c r="AB38" s="210">
        <f>+AB36-AB10</f>
        <v>-33328911.520000011</v>
      </c>
      <c r="AC38" s="210">
        <f>+AC36-AC10</f>
        <v>-137074149.34</v>
      </c>
    </row>
    <row r="39" spans="1:31" s="242" customFormat="1">
      <c r="M39" s="241"/>
      <c r="O39" s="241"/>
      <c r="S39" s="241"/>
      <c r="T39" s="241"/>
      <c r="U39" s="241"/>
      <c r="V39" s="241"/>
      <c r="W39" s="241"/>
      <c r="X39" s="241"/>
      <c r="Y39" s="241"/>
      <c r="Z39" s="241"/>
    </row>
    <row r="40" spans="1:31" s="242" customFormat="1">
      <c r="M40" s="241"/>
      <c r="O40" s="241"/>
      <c r="S40" s="241"/>
      <c r="T40" s="241"/>
      <c r="U40" s="241"/>
      <c r="V40" s="241"/>
      <c r="W40" s="241"/>
      <c r="X40" s="241"/>
      <c r="Y40" s="256">
        <v>-468565996</v>
      </c>
      <c r="Z40" s="256">
        <v>-294799261</v>
      </c>
      <c r="AA40" s="256">
        <v>-167485573</v>
      </c>
      <c r="AB40" s="256">
        <v>-33328901</v>
      </c>
      <c r="AC40" s="256">
        <v>-137074133</v>
      </c>
    </row>
    <row r="41" spans="1:31" s="242" customFormat="1">
      <c r="M41" s="241"/>
      <c r="O41" s="241"/>
      <c r="S41" s="241"/>
      <c r="T41" s="241"/>
      <c r="U41" s="241"/>
      <c r="V41" s="241"/>
      <c r="W41" s="241"/>
      <c r="X41" s="241"/>
      <c r="Y41" s="241" t="s">
        <v>489</v>
      </c>
      <c r="Z41" s="241"/>
    </row>
    <row r="42" spans="1:31">
      <c r="N42" s="271">
        <v>2022</v>
      </c>
      <c r="P42" s="289">
        <v>-468760669</v>
      </c>
      <c r="S42" s="192"/>
      <c r="T42" s="212"/>
      <c r="U42" s="192"/>
      <c r="V42" s="192"/>
      <c r="W42" s="192"/>
      <c r="X42" s="192"/>
      <c r="Y42" s="190">
        <f>+Y38-Y46</f>
        <v>-0.24000000953674316</v>
      </c>
      <c r="Z42" s="190">
        <f t="shared" ref="Z42:AC42" si="2">+Z38-Z46</f>
        <v>4.0000021457672119E-2</v>
      </c>
      <c r="AA42" s="190">
        <f t="shared" si="2"/>
        <v>0.27999997138977051</v>
      </c>
      <c r="AB42" s="190">
        <f t="shared" si="2"/>
        <v>0.47999998927116394</v>
      </c>
      <c r="AC42" s="190">
        <f t="shared" si="2"/>
        <v>-0.34000000357627869</v>
      </c>
    </row>
    <row r="43" spans="1:31">
      <c r="N43" s="271">
        <v>2023</v>
      </c>
      <c r="P43" s="256">
        <v>-294993925</v>
      </c>
      <c r="S43" s="192"/>
      <c r="T43" s="212"/>
      <c r="U43" s="192"/>
      <c r="V43" s="192"/>
      <c r="W43" s="192"/>
      <c r="X43" s="192"/>
      <c r="Y43" s="192"/>
      <c r="Z43" s="192"/>
    </row>
    <row r="44" spans="1:31">
      <c r="N44" s="271">
        <v>2024</v>
      </c>
      <c r="P44" s="256">
        <v>-167610151</v>
      </c>
      <c r="S44" s="192"/>
      <c r="T44" s="212"/>
      <c r="U44" s="192"/>
      <c r="V44" s="192"/>
      <c r="W44" s="192"/>
      <c r="X44" s="192"/>
      <c r="Y44" s="199"/>
      <c r="Z44" s="199"/>
    </row>
    <row r="45" spans="1:31" s="242" customFormat="1">
      <c r="M45" s="241"/>
      <c r="N45" s="271">
        <v>2025</v>
      </c>
      <c r="O45" s="241"/>
      <c r="P45" s="256">
        <v>-33328912</v>
      </c>
      <c r="S45" s="241"/>
      <c r="T45" s="212"/>
      <c r="U45" s="241"/>
      <c r="V45" s="241"/>
      <c r="W45" s="241"/>
      <c r="X45" s="241"/>
      <c r="Y45" s="284" t="s">
        <v>490</v>
      </c>
      <c r="Z45" s="284"/>
    </row>
    <row r="46" spans="1:31">
      <c r="N46" s="271">
        <v>2026</v>
      </c>
      <c r="P46" s="270">
        <v>-137074148</v>
      </c>
      <c r="S46" s="192"/>
      <c r="T46" s="212"/>
      <c r="U46" s="192"/>
      <c r="V46" s="192"/>
      <c r="W46" s="192"/>
      <c r="X46" s="192"/>
      <c r="Y46" s="284">
        <f>+'Amortization Tables_Report'!C323</f>
        <v>-468760669</v>
      </c>
      <c r="Z46" s="284">
        <f>+'Amortization Tables_Report'!D323</f>
        <v>-294993925</v>
      </c>
      <c r="AA46" s="284">
        <f>+'Amortization Tables_Report'!E323</f>
        <v>-167610151</v>
      </c>
      <c r="AB46" s="284">
        <f>+'Amortization Tables_Report'!F323</f>
        <v>-33328912</v>
      </c>
      <c r="AC46" s="284">
        <f>+'Amortization Tables_Report'!G323</f>
        <v>-137074149</v>
      </c>
    </row>
    <row r="47" spans="1:31" ht="13.5" customHeight="1">
      <c r="P47" s="34"/>
      <c r="S47" s="192"/>
      <c r="T47" s="192"/>
      <c r="U47" s="192"/>
      <c r="V47" s="192"/>
      <c r="W47" s="192"/>
      <c r="X47" s="192"/>
      <c r="Y47" s="199"/>
      <c r="Z47" s="199"/>
    </row>
    <row r="48" spans="1:31" ht="13.5" thickBot="1">
      <c r="N48" s="34" t="s">
        <v>328</v>
      </c>
      <c r="P48" s="174">
        <f>SUM(P42:P46)</f>
        <v>-1101767805</v>
      </c>
      <c r="S48" s="192"/>
      <c r="T48" s="192"/>
      <c r="U48" s="192"/>
      <c r="V48" s="192"/>
      <c r="W48" s="192"/>
      <c r="X48" s="192"/>
      <c r="Y48" s="199"/>
      <c r="Z48" s="199"/>
    </row>
    <row r="49" spans="14:26" ht="13.5" thickTop="1">
      <c r="Q49" s="160"/>
      <c r="S49" s="192"/>
      <c r="T49" s="192"/>
      <c r="U49" s="192"/>
      <c r="V49" s="192"/>
      <c r="W49" s="192"/>
      <c r="X49" s="192"/>
      <c r="Y49" s="199"/>
      <c r="Z49" s="199"/>
    </row>
    <row r="50" spans="14:26">
      <c r="S50" s="192"/>
      <c r="T50" s="192"/>
      <c r="U50" s="192"/>
      <c r="V50" s="192"/>
      <c r="W50" s="192"/>
      <c r="X50" s="192"/>
      <c r="Y50" s="192"/>
      <c r="Z50" s="199"/>
    </row>
    <row r="51" spans="14:26">
      <c r="S51" s="192"/>
      <c r="T51" s="192"/>
      <c r="U51" s="192"/>
      <c r="V51" s="192"/>
      <c r="W51" s="192"/>
      <c r="X51" s="192"/>
      <c r="Y51" s="199"/>
      <c r="Z51" s="199"/>
    </row>
    <row r="52" spans="14:26">
      <c r="P52" s="258">
        <f>+P36-P10+P48</f>
        <v>0.40000009536743164</v>
      </c>
      <c r="S52" s="192"/>
      <c r="T52" s="192"/>
      <c r="U52" s="192"/>
      <c r="V52" s="192"/>
      <c r="W52" s="192"/>
      <c r="X52" s="192"/>
      <c r="Y52" s="189"/>
      <c r="Z52" s="189"/>
    </row>
    <row r="53" spans="14:26">
      <c r="N53" s="188"/>
      <c r="P53" s="188"/>
      <c r="S53" s="192"/>
      <c r="T53" s="192"/>
      <c r="U53" s="192"/>
      <c r="V53" s="192"/>
      <c r="W53" s="192"/>
      <c r="X53" s="192"/>
      <c r="Y53" s="192"/>
      <c r="Z53" s="192"/>
    </row>
    <row r="54" spans="14:26">
      <c r="N54" s="187"/>
      <c r="P54" s="188"/>
      <c r="S54" s="192"/>
      <c r="T54" s="192"/>
      <c r="U54" s="192"/>
      <c r="V54" s="192"/>
      <c r="W54" s="192"/>
      <c r="X54" s="192"/>
      <c r="Y54" s="192"/>
      <c r="Z54" s="192"/>
    </row>
    <row r="55" spans="14:26">
      <c r="N55" s="188"/>
      <c r="P55" s="188"/>
      <c r="S55" s="192"/>
      <c r="T55" s="192"/>
      <c r="U55" s="192"/>
      <c r="V55" s="192"/>
      <c r="W55" s="192"/>
      <c r="X55" s="192"/>
      <c r="Y55" s="192"/>
      <c r="Z55" s="192"/>
    </row>
    <row r="56" spans="14:26" ht="4.3499999999999996" customHeight="1">
      <c r="N56" s="186"/>
      <c r="P56" s="185"/>
    </row>
    <row r="57" spans="14:26">
      <c r="N57" s="186"/>
      <c r="P57" s="198"/>
    </row>
    <row r="58" spans="14:26">
      <c r="N58" s="186"/>
      <c r="P58" s="198"/>
    </row>
    <row r="59" spans="14:26">
      <c r="N59" s="184"/>
      <c r="P59" s="198"/>
    </row>
    <row r="60" spans="14:26">
      <c r="N60" s="184"/>
      <c r="P60" s="196"/>
    </row>
    <row r="61" spans="14:26">
      <c r="N61" s="191"/>
      <c r="P61" s="183"/>
    </row>
    <row r="62" spans="14:26">
      <c r="N62" s="191"/>
      <c r="P62" s="188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1D66-C250-4502-810C-37F2FB381554}">
  <sheetPr>
    <tabColor rgb="FF92D050"/>
  </sheetPr>
  <dimension ref="A1:P321"/>
  <sheetViews>
    <sheetView workbookViewId="0">
      <selection activeCell="A10" sqref="A10:G10"/>
    </sheetView>
  </sheetViews>
  <sheetFormatPr defaultRowHeight="15"/>
  <cols>
    <col min="2" max="2" width="53.28515625" bestFit="1" customWidth="1"/>
    <col min="3" max="3" width="11.5703125" bestFit="1" customWidth="1"/>
  </cols>
  <sheetData>
    <row r="1" spans="1:16" ht="18">
      <c r="A1" s="388" t="s">
        <v>392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</row>
    <row r="2" spans="1:16" ht="15.75">
      <c r="A2" s="387" t="s">
        <v>394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</row>
    <row r="3" spans="1:16" ht="15.75">
      <c r="A3" s="387" t="s">
        <v>564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</row>
    <row r="4" spans="1:16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</row>
    <row r="6" spans="1:16">
      <c r="A6" s="362"/>
      <c r="B6" s="362"/>
      <c r="C6" s="363"/>
      <c r="D6" s="407" t="s">
        <v>377</v>
      </c>
      <c r="E6" s="407"/>
      <c r="F6" s="407"/>
      <c r="G6" s="407"/>
      <c r="H6" s="363"/>
      <c r="I6" s="407" t="s">
        <v>296</v>
      </c>
      <c r="J6" s="407"/>
      <c r="K6" s="407"/>
      <c r="L6" s="407"/>
      <c r="M6" s="362"/>
      <c r="N6" s="407" t="s">
        <v>398</v>
      </c>
      <c r="O6" s="407"/>
      <c r="P6" s="407"/>
    </row>
    <row r="7" spans="1:16" ht="135.75">
      <c r="A7" s="364" t="s">
        <v>0</v>
      </c>
      <c r="B7" s="364" t="s">
        <v>1</v>
      </c>
      <c r="C7" s="364" t="s">
        <v>565</v>
      </c>
      <c r="D7" s="364" t="s">
        <v>298</v>
      </c>
      <c r="E7" s="364" t="s">
        <v>299</v>
      </c>
      <c r="F7" s="396" t="s">
        <v>378</v>
      </c>
      <c r="G7" s="396" t="s">
        <v>379</v>
      </c>
      <c r="H7" s="364"/>
      <c r="I7" s="364" t="s">
        <v>297</v>
      </c>
      <c r="J7" s="364" t="s">
        <v>299</v>
      </c>
      <c r="K7" s="364" t="s">
        <v>378</v>
      </c>
      <c r="L7" s="364" t="s">
        <v>300</v>
      </c>
      <c r="M7" s="364"/>
      <c r="N7" s="364" t="s">
        <v>400</v>
      </c>
      <c r="O7" s="364" t="s">
        <v>391</v>
      </c>
      <c r="P7" s="364" t="s">
        <v>399</v>
      </c>
    </row>
    <row r="8" spans="1:16">
      <c r="A8" s="365"/>
      <c r="B8" s="366"/>
      <c r="C8" s="366">
        <v>3</v>
      </c>
      <c r="D8" s="366">
        <v>4</v>
      </c>
      <c r="E8" s="366">
        <v>5</v>
      </c>
      <c r="F8" s="381">
        <v>6</v>
      </c>
      <c r="G8" s="381">
        <v>7</v>
      </c>
      <c r="H8" s="381"/>
      <c r="I8" s="366">
        <v>8</v>
      </c>
      <c r="J8" s="366">
        <v>9</v>
      </c>
      <c r="K8" s="366">
        <v>10</v>
      </c>
      <c r="L8" s="366">
        <v>11</v>
      </c>
      <c r="M8" s="366"/>
      <c r="N8" s="366">
        <v>12</v>
      </c>
      <c r="O8" s="366">
        <v>13</v>
      </c>
      <c r="P8" s="366">
        <v>14</v>
      </c>
    </row>
    <row r="9" spans="1:16">
      <c r="A9" s="380"/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</row>
    <row r="10" spans="1:16">
      <c r="A10" s="367">
        <v>1341</v>
      </c>
      <c r="B10" s="368" t="s">
        <v>5</v>
      </c>
      <c r="C10" s="389">
        <v>1008905642</v>
      </c>
      <c r="D10" s="389">
        <v>5501760</v>
      </c>
      <c r="E10" s="389">
        <v>198055397</v>
      </c>
      <c r="F10" s="389">
        <v>3694492</v>
      </c>
      <c r="G10" s="389">
        <v>207251649</v>
      </c>
      <c r="H10" s="389"/>
      <c r="I10" s="389">
        <v>179154632</v>
      </c>
      <c r="J10" s="389">
        <v>179174740</v>
      </c>
      <c r="K10" s="392">
        <v>8617559</v>
      </c>
      <c r="L10" s="389">
        <v>366946931</v>
      </c>
      <c r="M10" s="390"/>
      <c r="N10" s="390">
        <v>-46955460</v>
      </c>
      <c r="O10" s="390">
        <v>-695631</v>
      </c>
      <c r="P10" s="390">
        <v>-47651091</v>
      </c>
    </row>
    <row r="11" spans="1:16">
      <c r="A11" s="369">
        <v>2308</v>
      </c>
      <c r="B11" s="370" t="s">
        <v>6</v>
      </c>
      <c r="C11" s="378">
        <v>1267230</v>
      </c>
      <c r="D11" s="378">
        <v>6910</v>
      </c>
      <c r="E11" s="378">
        <v>248766</v>
      </c>
      <c r="F11" s="378">
        <v>143026</v>
      </c>
      <c r="G11" s="378">
        <v>398702</v>
      </c>
      <c r="H11" s="378"/>
      <c r="I11" s="378">
        <v>225026</v>
      </c>
      <c r="J11" s="378">
        <v>225051</v>
      </c>
      <c r="K11" s="378">
        <v>44298</v>
      </c>
      <c r="L11" s="378">
        <v>494375</v>
      </c>
      <c r="M11" s="379"/>
      <c r="N11" s="379">
        <v>-58978</v>
      </c>
      <c r="O11" s="379">
        <v>27572</v>
      </c>
      <c r="P11" s="379">
        <v>-31406</v>
      </c>
    </row>
    <row r="12" spans="1:16">
      <c r="A12" s="367">
        <v>2340</v>
      </c>
      <c r="B12" s="371" t="s">
        <v>7</v>
      </c>
      <c r="C12" s="375">
        <v>1654790</v>
      </c>
      <c r="D12" s="375">
        <v>9024</v>
      </c>
      <c r="E12" s="375">
        <v>324847</v>
      </c>
      <c r="F12" s="375">
        <v>7408</v>
      </c>
      <c r="G12" s="375">
        <v>341279</v>
      </c>
      <c r="H12" s="375"/>
      <c r="I12" s="375">
        <v>293846</v>
      </c>
      <c r="J12" s="375">
        <v>293879</v>
      </c>
      <c r="K12" s="375">
        <v>78880</v>
      </c>
      <c r="L12" s="375">
        <v>666605</v>
      </c>
      <c r="M12" s="376"/>
      <c r="N12" s="376">
        <v>-77016</v>
      </c>
      <c r="O12" s="376">
        <v>-14997</v>
      </c>
      <c r="P12" s="376">
        <v>-92013</v>
      </c>
    </row>
    <row r="13" spans="1:16">
      <c r="A13" s="369">
        <v>1301</v>
      </c>
      <c r="B13" s="370" t="s">
        <v>8</v>
      </c>
      <c r="C13" s="378">
        <v>1822326</v>
      </c>
      <c r="D13" s="378">
        <v>9937</v>
      </c>
      <c r="E13" s="378">
        <v>357736</v>
      </c>
      <c r="F13" s="378">
        <v>146909</v>
      </c>
      <c r="G13" s="378">
        <v>514582</v>
      </c>
      <c r="H13" s="378"/>
      <c r="I13" s="378">
        <v>323596</v>
      </c>
      <c r="J13" s="378">
        <v>323633</v>
      </c>
      <c r="K13" s="378">
        <v>42326</v>
      </c>
      <c r="L13" s="378">
        <v>689555</v>
      </c>
      <c r="M13" s="379"/>
      <c r="N13" s="379">
        <v>-84813</v>
      </c>
      <c r="O13" s="379">
        <v>20752</v>
      </c>
      <c r="P13" s="379">
        <v>-64061</v>
      </c>
    </row>
    <row r="14" spans="1:16">
      <c r="A14" s="367">
        <v>2390</v>
      </c>
      <c r="B14" s="371" t="s">
        <v>9</v>
      </c>
      <c r="C14" s="375">
        <v>1264291</v>
      </c>
      <c r="D14" s="375">
        <v>6894</v>
      </c>
      <c r="E14" s="375">
        <v>248189</v>
      </c>
      <c r="F14" s="401">
        <v>0</v>
      </c>
      <c r="G14" s="375">
        <v>255083</v>
      </c>
      <c r="H14" s="375"/>
      <c r="I14" s="375">
        <v>224504</v>
      </c>
      <c r="J14" s="375">
        <v>224529</v>
      </c>
      <c r="K14" s="375">
        <v>385330</v>
      </c>
      <c r="L14" s="375">
        <v>834363</v>
      </c>
      <c r="M14" s="376"/>
      <c r="N14" s="376">
        <v>-58841</v>
      </c>
      <c r="O14" s="376">
        <v>-101626</v>
      </c>
      <c r="P14" s="376">
        <v>-160467</v>
      </c>
    </row>
    <row r="15" spans="1:16">
      <c r="A15" s="369">
        <v>15046</v>
      </c>
      <c r="B15" s="370" t="s">
        <v>10</v>
      </c>
      <c r="C15" s="378">
        <v>29724070</v>
      </c>
      <c r="D15" s="378">
        <v>162091</v>
      </c>
      <c r="E15" s="378">
        <v>5835048</v>
      </c>
      <c r="F15" s="378">
        <v>1879853</v>
      </c>
      <c r="G15" s="378">
        <v>7876992</v>
      </c>
      <c r="H15" s="378"/>
      <c r="I15" s="378">
        <v>5278199</v>
      </c>
      <c r="J15" s="378">
        <v>5278791</v>
      </c>
      <c r="K15" s="378">
        <v>344071</v>
      </c>
      <c r="L15" s="378">
        <v>10901061</v>
      </c>
      <c r="M15" s="379"/>
      <c r="N15" s="379">
        <v>-1383387</v>
      </c>
      <c r="O15" s="379">
        <v>257414</v>
      </c>
      <c r="P15" s="379">
        <v>-1125973</v>
      </c>
    </row>
    <row r="16" spans="1:16">
      <c r="A16" s="367">
        <v>4380</v>
      </c>
      <c r="B16" s="371" t="s">
        <v>11</v>
      </c>
      <c r="C16" s="375">
        <v>30125485</v>
      </c>
      <c r="D16" s="375">
        <v>164280</v>
      </c>
      <c r="E16" s="375">
        <v>5913848</v>
      </c>
      <c r="F16" s="401">
        <v>0</v>
      </c>
      <c r="G16" s="375">
        <v>6078128</v>
      </c>
      <c r="H16" s="375"/>
      <c r="I16" s="375">
        <v>5349480</v>
      </c>
      <c r="J16" s="375">
        <v>5350080</v>
      </c>
      <c r="K16" s="375">
        <v>2954129</v>
      </c>
      <c r="L16" s="375">
        <v>13653689</v>
      </c>
      <c r="M16" s="376"/>
      <c r="N16" s="376">
        <v>-1402070</v>
      </c>
      <c r="O16" s="376">
        <v>-682845</v>
      </c>
      <c r="P16" s="376">
        <v>-2084915</v>
      </c>
    </row>
    <row r="17" spans="1:16">
      <c r="A17" s="369">
        <v>2435</v>
      </c>
      <c r="B17" s="370" t="s">
        <v>409</v>
      </c>
      <c r="C17" s="378">
        <v>404775</v>
      </c>
      <c r="D17" s="378">
        <v>2207</v>
      </c>
      <c r="E17" s="378">
        <v>79460</v>
      </c>
      <c r="F17" s="378">
        <v>360323</v>
      </c>
      <c r="G17" s="378">
        <v>441990</v>
      </c>
      <c r="H17" s="378"/>
      <c r="I17" s="378">
        <v>71877</v>
      </c>
      <c r="J17" s="378">
        <v>71885</v>
      </c>
      <c r="K17" s="402">
        <v>0</v>
      </c>
      <c r="L17" s="378">
        <v>143762</v>
      </c>
      <c r="M17" s="379"/>
      <c r="N17" s="379">
        <v>-18839</v>
      </c>
      <c r="O17" s="379">
        <v>90549</v>
      </c>
      <c r="P17" s="379">
        <v>71710</v>
      </c>
    </row>
    <row r="18" spans="1:16">
      <c r="A18" s="367">
        <v>4560</v>
      </c>
      <c r="B18" s="371" t="s">
        <v>12</v>
      </c>
      <c r="C18" s="375">
        <v>2430748</v>
      </c>
      <c r="D18" s="375">
        <v>13255</v>
      </c>
      <c r="E18" s="375">
        <v>477173</v>
      </c>
      <c r="F18" s="401">
        <v>0</v>
      </c>
      <c r="G18" s="375">
        <v>490428</v>
      </c>
      <c r="H18" s="375"/>
      <c r="I18" s="375">
        <v>431636</v>
      </c>
      <c r="J18" s="375">
        <v>431684</v>
      </c>
      <c r="K18" s="375">
        <v>344743</v>
      </c>
      <c r="L18" s="375">
        <v>1208063</v>
      </c>
      <c r="M18" s="376"/>
      <c r="N18" s="376">
        <v>-113129</v>
      </c>
      <c r="O18" s="376">
        <v>-101317</v>
      </c>
      <c r="P18" s="376">
        <v>-214446</v>
      </c>
    </row>
    <row r="19" spans="1:16">
      <c r="A19" s="369">
        <v>2341</v>
      </c>
      <c r="B19" s="370" t="s">
        <v>440</v>
      </c>
      <c r="C19" s="378">
        <v>1627497</v>
      </c>
      <c r="D19" s="378">
        <v>8875</v>
      </c>
      <c r="E19" s="378">
        <v>319489</v>
      </c>
      <c r="F19" s="378">
        <v>37434</v>
      </c>
      <c r="G19" s="378">
        <v>365798</v>
      </c>
      <c r="H19" s="378"/>
      <c r="I19" s="378">
        <v>289000</v>
      </c>
      <c r="J19" s="378">
        <v>289032</v>
      </c>
      <c r="K19" s="378">
        <v>129393</v>
      </c>
      <c r="L19" s="378">
        <v>707425</v>
      </c>
      <c r="M19" s="379"/>
      <c r="N19" s="379">
        <v>-75745</v>
      </c>
      <c r="O19" s="379">
        <v>-28940</v>
      </c>
      <c r="P19" s="379">
        <v>-104685</v>
      </c>
    </row>
    <row r="20" spans="1:16">
      <c r="A20" s="367">
        <v>4580</v>
      </c>
      <c r="B20" s="371" t="s">
        <v>410</v>
      </c>
      <c r="C20" s="375">
        <v>1321396</v>
      </c>
      <c r="D20" s="375">
        <v>7206</v>
      </c>
      <c r="E20" s="375">
        <v>259400</v>
      </c>
      <c r="F20" s="375">
        <v>1184466</v>
      </c>
      <c r="G20" s="375">
        <v>1451072</v>
      </c>
      <c r="H20" s="375"/>
      <c r="I20" s="375">
        <v>234645</v>
      </c>
      <c r="J20" s="375">
        <v>234671</v>
      </c>
      <c r="K20" s="375">
        <v>88519</v>
      </c>
      <c r="L20" s="375">
        <v>557835</v>
      </c>
      <c r="M20" s="376"/>
      <c r="N20" s="376">
        <v>-61499</v>
      </c>
      <c r="O20" s="376">
        <v>307628</v>
      </c>
      <c r="P20" s="376">
        <v>246129</v>
      </c>
    </row>
    <row r="21" spans="1:16">
      <c r="A21" s="369">
        <v>2003</v>
      </c>
      <c r="B21" s="370" t="s">
        <v>13</v>
      </c>
      <c r="C21" s="378">
        <v>485256882</v>
      </c>
      <c r="D21" s="378">
        <v>2646199</v>
      </c>
      <c r="E21" s="378">
        <v>95259400</v>
      </c>
      <c r="F21" s="378">
        <v>20547434</v>
      </c>
      <c r="G21" s="378">
        <v>118453033</v>
      </c>
      <c r="H21" s="378"/>
      <c r="I21" s="378">
        <v>86168629</v>
      </c>
      <c r="J21" s="378">
        <v>86178302</v>
      </c>
      <c r="K21" s="378">
        <v>5331757</v>
      </c>
      <c r="L21" s="378">
        <v>177678688</v>
      </c>
      <c r="M21" s="379"/>
      <c r="N21" s="379">
        <v>-22584330</v>
      </c>
      <c r="O21" s="379">
        <v>2548939</v>
      </c>
      <c r="P21" s="379">
        <v>-20035391</v>
      </c>
    </row>
    <row r="22" spans="1:16">
      <c r="A22" s="367">
        <v>2412</v>
      </c>
      <c r="B22" s="371" t="s">
        <v>14</v>
      </c>
      <c r="C22" s="375">
        <v>2618859</v>
      </c>
      <c r="D22" s="375">
        <v>14281</v>
      </c>
      <c r="E22" s="375">
        <v>514101</v>
      </c>
      <c r="F22" s="375">
        <v>906936</v>
      </c>
      <c r="G22" s="375">
        <v>1435318</v>
      </c>
      <c r="H22" s="375"/>
      <c r="I22" s="375">
        <v>465039</v>
      </c>
      <c r="J22" s="375">
        <v>465091</v>
      </c>
      <c r="K22" s="401">
        <v>0</v>
      </c>
      <c r="L22" s="375">
        <v>930130</v>
      </c>
      <c r="M22" s="376"/>
      <c r="N22" s="376">
        <v>-121884</v>
      </c>
      <c r="O22" s="376">
        <v>224851</v>
      </c>
      <c r="P22" s="376">
        <v>102967</v>
      </c>
    </row>
    <row r="23" spans="1:16">
      <c r="A23" s="369">
        <v>2402</v>
      </c>
      <c r="B23" s="370" t="s">
        <v>15</v>
      </c>
      <c r="C23" s="378">
        <v>1195009</v>
      </c>
      <c r="D23" s="378">
        <v>6517</v>
      </c>
      <c r="E23" s="378">
        <v>234589</v>
      </c>
      <c r="F23" s="378">
        <v>74835</v>
      </c>
      <c r="G23" s="378">
        <v>315941</v>
      </c>
      <c r="H23" s="378"/>
      <c r="I23" s="378">
        <v>212202</v>
      </c>
      <c r="J23" s="378">
        <v>212225</v>
      </c>
      <c r="K23" s="378">
        <v>277459</v>
      </c>
      <c r="L23" s="378">
        <v>701886</v>
      </c>
      <c r="M23" s="379"/>
      <c r="N23" s="379">
        <v>-55617</v>
      </c>
      <c r="O23" s="379">
        <v>-70048</v>
      </c>
      <c r="P23" s="379">
        <v>-125665</v>
      </c>
    </row>
    <row r="24" spans="1:16">
      <c r="A24" s="367">
        <v>2361</v>
      </c>
      <c r="B24" s="371" t="s">
        <v>16</v>
      </c>
      <c r="C24" s="375">
        <v>932158</v>
      </c>
      <c r="D24" s="375">
        <v>5083</v>
      </c>
      <c r="E24" s="375">
        <v>182989</v>
      </c>
      <c r="F24" s="375">
        <v>55091</v>
      </c>
      <c r="G24" s="375">
        <v>243163</v>
      </c>
      <c r="H24" s="375"/>
      <c r="I24" s="375">
        <v>165526</v>
      </c>
      <c r="J24" s="375">
        <v>165545</v>
      </c>
      <c r="K24" s="375">
        <v>81753</v>
      </c>
      <c r="L24" s="375">
        <v>412824</v>
      </c>
      <c r="M24" s="376"/>
      <c r="N24" s="376">
        <v>-43384</v>
      </c>
      <c r="O24" s="376">
        <v>-2650</v>
      </c>
      <c r="P24" s="376">
        <v>-46034</v>
      </c>
    </row>
    <row r="25" spans="1:16">
      <c r="A25" s="369">
        <v>8347</v>
      </c>
      <c r="B25" s="370" t="s">
        <v>17</v>
      </c>
      <c r="C25" s="378">
        <v>1188711</v>
      </c>
      <c r="D25" s="378">
        <v>6482</v>
      </c>
      <c r="E25" s="378">
        <v>233352</v>
      </c>
      <c r="F25" s="378">
        <v>39864</v>
      </c>
      <c r="G25" s="378">
        <v>279698</v>
      </c>
      <c r="H25" s="378"/>
      <c r="I25" s="378">
        <v>211083</v>
      </c>
      <c r="J25" s="378">
        <v>211107</v>
      </c>
      <c r="K25" s="378">
        <v>119308</v>
      </c>
      <c r="L25" s="378">
        <v>541498</v>
      </c>
      <c r="M25" s="379"/>
      <c r="N25" s="379">
        <v>-55324</v>
      </c>
      <c r="O25" s="379">
        <v>-9762</v>
      </c>
      <c r="P25" s="379">
        <v>-65086</v>
      </c>
    </row>
    <row r="26" spans="1:16">
      <c r="A26" s="367">
        <v>2356</v>
      </c>
      <c r="B26" s="371" t="s">
        <v>18</v>
      </c>
      <c r="C26" s="375">
        <v>2386659</v>
      </c>
      <c r="D26" s="375">
        <v>13015</v>
      </c>
      <c r="E26" s="375">
        <v>468518</v>
      </c>
      <c r="F26" s="375">
        <v>369797</v>
      </c>
      <c r="G26" s="375">
        <v>851330</v>
      </c>
      <c r="H26" s="375"/>
      <c r="I26" s="375">
        <v>423807</v>
      </c>
      <c r="J26" s="375">
        <v>423854</v>
      </c>
      <c r="K26" s="401">
        <v>0</v>
      </c>
      <c r="L26" s="375">
        <v>847661</v>
      </c>
      <c r="M26" s="376"/>
      <c r="N26" s="376">
        <v>-111077</v>
      </c>
      <c r="O26" s="376">
        <v>97661</v>
      </c>
      <c r="P26" s="376">
        <v>-13416</v>
      </c>
    </row>
    <row r="27" spans="1:16">
      <c r="A27" s="369">
        <v>7335</v>
      </c>
      <c r="B27" s="370" t="s">
        <v>19</v>
      </c>
      <c r="C27" s="378">
        <v>958611</v>
      </c>
      <c r="D27" s="378">
        <v>5227</v>
      </c>
      <c r="E27" s="378">
        <v>188182</v>
      </c>
      <c r="F27" s="378">
        <v>47197</v>
      </c>
      <c r="G27" s="378">
        <v>240606</v>
      </c>
      <c r="H27" s="378"/>
      <c r="I27" s="378">
        <v>170224</v>
      </c>
      <c r="J27" s="378">
        <v>170243</v>
      </c>
      <c r="K27" s="378">
        <v>49605</v>
      </c>
      <c r="L27" s="378">
        <v>390072</v>
      </c>
      <c r="M27" s="379"/>
      <c r="N27" s="379">
        <v>-44615</v>
      </c>
      <c r="O27" s="379">
        <v>5783</v>
      </c>
      <c r="P27" s="379">
        <v>-38832</v>
      </c>
    </row>
    <row r="28" spans="1:16">
      <c r="A28" s="367">
        <v>575</v>
      </c>
      <c r="B28" s="371" t="s">
        <v>411</v>
      </c>
      <c r="C28" s="375">
        <v>497151</v>
      </c>
      <c r="D28" s="375">
        <v>2711</v>
      </c>
      <c r="E28" s="375">
        <v>97594</v>
      </c>
      <c r="F28" s="375">
        <v>435558</v>
      </c>
      <c r="G28" s="375">
        <v>535863</v>
      </c>
      <c r="H28" s="375"/>
      <c r="I28" s="375">
        <v>88281</v>
      </c>
      <c r="J28" s="375">
        <v>88291</v>
      </c>
      <c r="K28" s="401">
        <v>0</v>
      </c>
      <c r="L28" s="375">
        <v>176572</v>
      </c>
      <c r="M28" s="376"/>
      <c r="N28" s="376">
        <v>-23138</v>
      </c>
      <c r="O28" s="376">
        <v>112262</v>
      </c>
      <c r="P28" s="376">
        <v>89124</v>
      </c>
    </row>
    <row r="29" spans="1:16">
      <c r="A29" s="369">
        <v>2303</v>
      </c>
      <c r="B29" s="370" t="s">
        <v>20</v>
      </c>
      <c r="C29" s="378">
        <v>1931918</v>
      </c>
      <c r="D29" s="378">
        <v>10535</v>
      </c>
      <c r="E29" s="378">
        <v>379249</v>
      </c>
      <c r="F29" s="402">
        <v>0</v>
      </c>
      <c r="G29" s="378">
        <v>389784</v>
      </c>
      <c r="H29" s="378"/>
      <c r="I29" s="378">
        <v>343057</v>
      </c>
      <c r="J29" s="378">
        <v>343095</v>
      </c>
      <c r="K29" s="378">
        <v>262279</v>
      </c>
      <c r="L29" s="378">
        <v>948431</v>
      </c>
      <c r="M29" s="379"/>
      <c r="N29" s="379">
        <v>-89913</v>
      </c>
      <c r="O29" s="379">
        <v>-65005</v>
      </c>
      <c r="P29" s="379">
        <v>-154918</v>
      </c>
    </row>
    <row r="30" spans="1:16">
      <c r="A30" s="367">
        <v>20316</v>
      </c>
      <c r="B30" s="371" t="s">
        <v>21</v>
      </c>
      <c r="C30" s="375">
        <v>893108</v>
      </c>
      <c r="D30" s="375">
        <v>4870</v>
      </c>
      <c r="E30" s="375">
        <v>175323</v>
      </c>
      <c r="F30" s="375">
        <v>20102</v>
      </c>
      <c r="G30" s="375">
        <v>200295</v>
      </c>
      <c r="H30" s="375"/>
      <c r="I30" s="375">
        <v>158592</v>
      </c>
      <c r="J30" s="375">
        <v>158610</v>
      </c>
      <c r="K30" s="401">
        <v>0</v>
      </c>
      <c r="L30" s="375">
        <v>317202</v>
      </c>
      <c r="M30" s="376"/>
      <c r="N30" s="376">
        <v>-41566</v>
      </c>
      <c r="O30" s="376">
        <v>5234</v>
      </c>
      <c r="P30" s="376">
        <v>-36332</v>
      </c>
    </row>
    <row r="31" spans="1:16">
      <c r="A31" s="369">
        <v>23121</v>
      </c>
      <c r="B31" s="370" t="s">
        <v>22</v>
      </c>
      <c r="C31" s="378">
        <v>1274369</v>
      </c>
      <c r="D31" s="378">
        <v>6949</v>
      </c>
      <c r="E31" s="378">
        <v>250168</v>
      </c>
      <c r="F31" s="402">
        <v>0</v>
      </c>
      <c r="G31" s="378">
        <v>257117</v>
      </c>
      <c r="H31" s="378"/>
      <c r="I31" s="378">
        <v>226294</v>
      </c>
      <c r="J31" s="378">
        <v>226319</v>
      </c>
      <c r="K31" s="378">
        <v>158790</v>
      </c>
      <c r="L31" s="378">
        <v>611403</v>
      </c>
      <c r="M31" s="379"/>
      <c r="N31" s="379">
        <v>-59310</v>
      </c>
      <c r="O31" s="379">
        <v>-41267</v>
      </c>
      <c r="P31" s="379">
        <v>-100577</v>
      </c>
    </row>
    <row r="32" spans="1:16">
      <c r="A32" s="367">
        <v>3004</v>
      </c>
      <c r="B32" s="371" t="s">
        <v>23</v>
      </c>
      <c r="C32" s="375">
        <v>20265610</v>
      </c>
      <c r="D32" s="375">
        <v>110512</v>
      </c>
      <c r="E32" s="375">
        <v>3978284</v>
      </c>
      <c r="F32" s="375">
        <v>148671</v>
      </c>
      <c r="G32" s="375">
        <v>4237467</v>
      </c>
      <c r="H32" s="375"/>
      <c r="I32" s="375">
        <v>3598630</v>
      </c>
      <c r="J32" s="375">
        <v>3599034</v>
      </c>
      <c r="K32" s="375">
        <v>461068</v>
      </c>
      <c r="L32" s="375">
        <v>7658732</v>
      </c>
      <c r="M32" s="376"/>
      <c r="N32" s="376">
        <v>-943181</v>
      </c>
      <c r="O32" s="376">
        <v>-48838</v>
      </c>
      <c r="P32" s="376">
        <v>-992019</v>
      </c>
    </row>
    <row r="33" spans="1:16">
      <c r="A33" s="369">
        <v>16050</v>
      </c>
      <c r="B33" s="370" t="s">
        <v>24</v>
      </c>
      <c r="C33" s="378">
        <v>13841280</v>
      </c>
      <c r="D33" s="378">
        <v>75479</v>
      </c>
      <c r="E33" s="378">
        <v>2717142</v>
      </c>
      <c r="F33" s="378">
        <v>123157</v>
      </c>
      <c r="G33" s="378">
        <v>2915778</v>
      </c>
      <c r="H33" s="378"/>
      <c r="I33" s="378">
        <v>2457841</v>
      </c>
      <c r="J33" s="378">
        <v>2458117</v>
      </c>
      <c r="K33" s="378">
        <v>562777</v>
      </c>
      <c r="L33" s="378">
        <v>5478735</v>
      </c>
      <c r="M33" s="379"/>
      <c r="N33" s="379">
        <v>-644187</v>
      </c>
      <c r="O33" s="379">
        <v>-160876</v>
      </c>
      <c r="P33" s="379">
        <v>-805063</v>
      </c>
    </row>
    <row r="34" spans="1:16">
      <c r="A34" s="367">
        <v>14043</v>
      </c>
      <c r="B34" s="371" t="s">
        <v>25</v>
      </c>
      <c r="C34" s="375">
        <v>20008217</v>
      </c>
      <c r="D34" s="375">
        <v>109109</v>
      </c>
      <c r="E34" s="375">
        <v>3927756</v>
      </c>
      <c r="F34" s="375">
        <v>2576232</v>
      </c>
      <c r="G34" s="375">
        <v>6613097</v>
      </c>
      <c r="H34" s="375"/>
      <c r="I34" s="375">
        <v>3552924</v>
      </c>
      <c r="J34" s="375">
        <v>3553322</v>
      </c>
      <c r="K34" s="375">
        <v>3100459</v>
      </c>
      <c r="L34" s="375">
        <v>10206705</v>
      </c>
      <c r="M34" s="376"/>
      <c r="N34" s="376">
        <v>-931202</v>
      </c>
      <c r="O34" s="376">
        <v>-116265</v>
      </c>
      <c r="P34" s="376">
        <v>-1047467</v>
      </c>
    </row>
    <row r="35" spans="1:16">
      <c r="A35" s="369">
        <v>3010</v>
      </c>
      <c r="B35" s="370" t="s">
        <v>26</v>
      </c>
      <c r="C35" s="378">
        <v>120642605</v>
      </c>
      <c r="D35" s="378">
        <v>657887</v>
      </c>
      <c r="E35" s="378">
        <v>23683007</v>
      </c>
      <c r="F35" s="378">
        <v>2744423</v>
      </c>
      <c r="G35" s="378">
        <v>27085317</v>
      </c>
      <c r="H35" s="378"/>
      <c r="I35" s="378">
        <v>21422896</v>
      </c>
      <c r="J35" s="378">
        <v>21425301</v>
      </c>
      <c r="K35" s="378">
        <v>3815725</v>
      </c>
      <c r="L35" s="378">
        <v>46663922</v>
      </c>
      <c r="M35" s="379"/>
      <c r="N35" s="379">
        <v>-5614825</v>
      </c>
      <c r="O35" s="379">
        <v>20839</v>
      </c>
      <c r="P35" s="379">
        <v>-5593986</v>
      </c>
    </row>
    <row r="36" spans="1:16">
      <c r="A36" s="367">
        <v>29086</v>
      </c>
      <c r="B36" s="371" t="s">
        <v>27</v>
      </c>
      <c r="C36" s="375">
        <v>19093275</v>
      </c>
      <c r="D36" s="375">
        <v>104119</v>
      </c>
      <c r="E36" s="375">
        <v>3748146</v>
      </c>
      <c r="F36" s="375">
        <v>751975</v>
      </c>
      <c r="G36" s="375">
        <v>4604240</v>
      </c>
      <c r="H36" s="375"/>
      <c r="I36" s="375">
        <v>3390454</v>
      </c>
      <c r="J36" s="375">
        <v>3390835</v>
      </c>
      <c r="K36" s="375">
        <v>535952</v>
      </c>
      <c r="L36" s="375">
        <v>7317241</v>
      </c>
      <c r="M36" s="376"/>
      <c r="N36" s="376">
        <v>-888620</v>
      </c>
      <c r="O36" s="376">
        <v>-14638</v>
      </c>
      <c r="P36" s="376">
        <v>-903258</v>
      </c>
    </row>
    <row r="37" spans="1:16">
      <c r="A37" s="369">
        <v>16051</v>
      </c>
      <c r="B37" s="370" t="s">
        <v>28</v>
      </c>
      <c r="C37" s="378">
        <v>15880690</v>
      </c>
      <c r="D37" s="378">
        <v>86600</v>
      </c>
      <c r="E37" s="378">
        <v>3117493</v>
      </c>
      <c r="F37" s="378">
        <v>533673</v>
      </c>
      <c r="G37" s="378">
        <v>3737766</v>
      </c>
      <c r="H37" s="378"/>
      <c r="I37" s="378">
        <v>2819985</v>
      </c>
      <c r="J37" s="378">
        <v>2820302</v>
      </c>
      <c r="K37" s="402">
        <v>0</v>
      </c>
      <c r="L37" s="378">
        <v>5640287</v>
      </c>
      <c r="M37" s="379"/>
      <c r="N37" s="379">
        <v>-739103</v>
      </c>
      <c r="O37" s="379">
        <v>124099</v>
      </c>
      <c r="P37" s="379">
        <v>-615004</v>
      </c>
    </row>
    <row r="38" spans="1:16">
      <c r="A38" s="367">
        <v>26077</v>
      </c>
      <c r="B38" s="371" t="s">
        <v>29</v>
      </c>
      <c r="C38" s="375">
        <v>3047567</v>
      </c>
      <c r="D38" s="375">
        <v>16619</v>
      </c>
      <c r="E38" s="375">
        <v>598259</v>
      </c>
      <c r="F38" s="375">
        <v>123555</v>
      </c>
      <c r="G38" s="375">
        <v>738433</v>
      </c>
      <c r="H38" s="375"/>
      <c r="I38" s="375">
        <v>541166</v>
      </c>
      <c r="J38" s="375">
        <v>541227</v>
      </c>
      <c r="K38" s="401">
        <v>0</v>
      </c>
      <c r="L38" s="375">
        <v>1082393</v>
      </c>
      <c r="M38" s="376"/>
      <c r="N38" s="376">
        <v>-141837</v>
      </c>
      <c r="O38" s="376">
        <v>37641</v>
      </c>
      <c r="P38" s="376">
        <v>-104196</v>
      </c>
    </row>
    <row r="39" spans="1:16">
      <c r="A39" s="369">
        <v>3005</v>
      </c>
      <c r="B39" s="370" t="s">
        <v>30</v>
      </c>
      <c r="C39" s="378">
        <v>35507226</v>
      </c>
      <c r="D39" s="378">
        <v>193628</v>
      </c>
      <c r="E39" s="378">
        <v>6970323</v>
      </c>
      <c r="F39" s="378">
        <v>185440</v>
      </c>
      <c r="G39" s="378">
        <v>7349391</v>
      </c>
      <c r="H39" s="378"/>
      <c r="I39" s="378">
        <v>6305133</v>
      </c>
      <c r="J39" s="378">
        <v>6305840</v>
      </c>
      <c r="K39" s="378">
        <v>2658403</v>
      </c>
      <c r="L39" s="378">
        <v>15269376</v>
      </c>
      <c r="M39" s="379"/>
      <c r="N39" s="379">
        <v>-1652541</v>
      </c>
      <c r="O39" s="379">
        <v>-482033</v>
      </c>
      <c r="P39" s="379">
        <v>-2134574</v>
      </c>
    </row>
    <row r="40" spans="1:16">
      <c r="A40" s="367">
        <v>26078</v>
      </c>
      <c r="B40" s="371" t="s">
        <v>31</v>
      </c>
      <c r="C40" s="375">
        <v>1349949</v>
      </c>
      <c r="D40" s="375">
        <v>7362</v>
      </c>
      <c r="E40" s="375">
        <v>265005</v>
      </c>
      <c r="F40" s="375">
        <v>108333</v>
      </c>
      <c r="G40" s="375">
        <v>380700</v>
      </c>
      <c r="H40" s="375"/>
      <c r="I40" s="375">
        <v>239715</v>
      </c>
      <c r="J40" s="375">
        <v>239742</v>
      </c>
      <c r="K40" s="375">
        <v>26133</v>
      </c>
      <c r="L40" s="375">
        <v>505590</v>
      </c>
      <c r="M40" s="376"/>
      <c r="N40" s="376">
        <v>-62828</v>
      </c>
      <c r="O40" s="376">
        <v>19164</v>
      </c>
      <c r="P40" s="376">
        <v>-43664</v>
      </c>
    </row>
    <row r="41" spans="1:16">
      <c r="A41" s="369">
        <v>16053</v>
      </c>
      <c r="B41" s="370" t="s">
        <v>32</v>
      </c>
      <c r="C41" s="378">
        <v>37140181</v>
      </c>
      <c r="D41" s="378">
        <v>202533</v>
      </c>
      <c r="E41" s="378">
        <v>7290883</v>
      </c>
      <c r="F41" s="378">
        <v>118659</v>
      </c>
      <c r="G41" s="378">
        <v>7612075</v>
      </c>
      <c r="H41" s="378"/>
      <c r="I41" s="378">
        <v>6595102</v>
      </c>
      <c r="J41" s="378">
        <v>6595842</v>
      </c>
      <c r="K41" s="378">
        <v>1624606</v>
      </c>
      <c r="L41" s="378">
        <v>14815550</v>
      </c>
      <c r="M41" s="379"/>
      <c r="N41" s="379">
        <v>-1728540</v>
      </c>
      <c r="O41" s="379">
        <v>-413856</v>
      </c>
      <c r="P41" s="379">
        <v>-2142396</v>
      </c>
    </row>
    <row r="42" spans="1:16">
      <c r="A42" s="367">
        <v>2123</v>
      </c>
      <c r="B42" s="371" t="s">
        <v>33</v>
      </c>
      <c r="C42" s="375">
        <v>71040905</v>
      </c>
      <c r="D42" s="375">
        <v>387400</v>
      </c>
      <c r="E42" s="375">
        <v>13945838</v>
      </c>
      <c r="F42" s="375">
        <v>6293776</v>
      </c>
      <c r="G42" s="375">
        <v>20627014</v>
      </c>
      <c r="H42" s="375"/>
      <c r="I42" s="375">
        <v>12614963</v>
      </c>
      <c r="J42" s="375">
        <v>12616379</v>
      </c>
      <c r="K42" s="375">
        <v>7447234</v>
      </c>
      <c r="L42" s="375">
        <v>32678576</v>
      </c>
      <c r="M42" s="376"/>
      <c r="N42" s="376">
        <v>-3306313</v>
      </c>
      <c r="O42" s="376">
        <v>-355201</v>
      </c>
      <c r="P42" s="376">
        <v>-3661514</v>
      </c>
    </row>
    <row r="43" spans="1:16">
      <c r="A43" s="369">
        <v>2150</v>
      </c>
      <c r="B43" s="370" t="s">
        <v>34</v>
      </c>
      <c r="C43" s="378">
        <v>2417311</v>
      </c>
      <c r="D43" s="378">
        <v>13182</v>
      </c>
      <c r="E43" s="378">
        <v>474536</v>
      </c>
      <c r="F43" s="378">
        <v>115469</v>
      </c>
      <c r="G43" s="378">
        <v>603187</v>
      </c>
      <c r="H43" s="378"/>
      <c r="I43" s="378">
        <v>429250</v>
      </c>
      <c r="J43" s="378">
        <v>429298</v>
      </c>
      <c r="K43" s="402">
        <v>0</v>
      </c>
      <c r="L43" s="378">
        <v>858548</v>
      </c>
      <c r="M43" s="379"/>
      <c r="N43" s="379">
        <v>-112504</v>
      </c>
      <c r="O43" s="379">
        <v>34615</v>
      </c>
      <c r="P43" s="379">
        <v>-77889</v>
      </c>
    </row>
    <row r="44" spans="1:16">
      <c r="A44" s="367">
        <v>2336</v>
      </c>
      <c r="B44" s="371" t="s">
        <v>35</v>
      </c>
      <c r="C44" s="375">
        <v>1061064</v>
      </c>
      <c r="D44" s="375">
        <v>5786</v>
      </c>
      <c r="E44" s="375">
        <v>208294</v>
      </c>
      <c r="F44" s="375">
        <v>137305</v>
      </c>
      <c r="G44" s="375">
        <v>351385</v>
      </c>
      <c r="H44" s="375"/>
      <c r="I44" s="375">
        <v>188417</v>
      </c>
      <c r="J44" s="375">
        <v>188438</v>
      </c>
      <c r="K44" s="401">
        <v>0</v>
      </c>
      <c r="L44" s="375">
        <v>376855</v>
      </c>
      <c r="M44" s="376"/>
      <c r="N44" s="376">
        <v>-49383</v>
      </c>
      <c r="O44" s="376">
        <v>35112</v>
      </c>
      <c r="P44" s="376">
        <v>-14271</v>
      </c>
    </row>
    <row r="45" spans="1:16">
      <c r="A45" s="369">
        <v>17126</v>
      </c>
      <c r="B45" s="370" t="s">
        <v>36</v>
      </c>
      <c r="C45" s="378">
        <v>2993402</v>
      </c>
      <c r="D45" s="378">
        <v>16324</v>
      </c>
      <c r="E45" s="378">
        <v>587626</v>
      </c>
      <c r="F45" s="378">
        <v>108190</v>
      </c>
      <c r="G45" s="378">
        <v>712140</v>
      </c>
      <c r="H45" s="378"/>
      <c r="I45" s="378">
        <v>531548</v>
      </c>
      <c r="J45" s="378">
        <v>531608</v>
      </c>
      <c r="K45" s="378">
        <v>170911</v>
      </c>
      <c r="L45" s="378">
        <v>1234067</v>
      </c>
      <c r="M45" s="379"/>
      <c r="N45" s="379">
        <v>-139316</v>
      </c>
      <c r="O45" s="379">
        <v>-32874</v>
      </c>
      <c r="P45" s="379">
        <v>-172190</v>
      </c>
    </row>
    <row r="46" spans="1:16">
      <c r="A46" s="367">
        <v>3030</v>
      </c>
      <c r="B46" s="371" t="s">
        <v>37</v>
      </c>
      <c r="C46" s="375">
        <v>9387919</v>
      </c>
      <c r="D46" s="375">
        <v>51194</v>
      </c>
      <c r="E46" s="375">
        <v>1842916</v>
      </c>
      <c r="F46" s="401">
        <v>0</v>
      </c>
      <c r="G46" s="375">
        <v>1894110</v>
      </c>
      <c r="H46" s="375"/>
      <c r="I46" s="375">
        <v>1667043</v>
      </c>
      <c r="J46" s="375">
        <v>1667230</v>
      </c>
      <c r="K46" s="375">
        <v>569074</v>
      </c>
      <c r="L46" s="375">
        <v>3903347</v>
      </c>
      <c r="M46" s="376"/>
      <c r="N46" s="376">
        <v>-436923</v>
      </c>
      <c r="O46" s="376">
        <v>-141041</v>
      </c>
      <c r="P46" s="376">
        <v>-577964</v>
      </c>
    </row>
    <row r="47" spans="1:16">
      <c r="A47" s="369">
        <v>2353</v>
      </c>
      <c r="B47" s="370" t="s">
        <v>38</v>
      </c>
      <c r="C47" s="378">
        <v>2143123</v>
      </c>
      <c r="D47" s="378">
        <v>11687</v>
      </c>
      <c r="E47" s="378">
        <v>420710</v>
      </c>
      <c r="F47" s="378">
        <v>697563</v>
      </c>
      <c r="G47" s="378">
        <v>1129960</v>
      </c>
      <c r="H47" s="378"/>
      <c r="I47" s="378">
        <v>380561</v>
      </c>
      <c r="J47" s="378">
        <v>380604</v>
      </c>
      <c r="K47" s="378">
        <v>5132</v>
      </c>
      <c r="L47" s="378">
        <v>766297</v>
      </c>
      <c r="M47" s="379"/>
      <c r="N47" s="379">
        <v>-99743</v>
      </c>
      <c r="O47" s="379">
        <v>210470</v>
      </c>
      <c r="P47" s="379">
        <v>110727</v>
      </c>
    </row>
    <row r="48" spans="1:16">
      <c r="A48" s="367">
        <v>3040</v>
      </c>
      <c r="B48" s="371" t="s">
        <v>39</v>
      </c>
      <c r="C48" s="375">
        <v>3218043</v>
      </c>
      <c r="D48" s="375">
        <v>17549</v>
      </c>
      <c r="E48" s="375">
        <v>631725</v>
      </c>
      <c r="F48" s="401">
        <v>0</v>
      </c>
      <c r="G48" s="375">
        <v>649274</v>
      </c>
      <c r="H48" s="375"/>
      <c r="I48" s="375">
        <v>571438</v>
      </c>
      <c r="J48" s="375">
        <v>571502</v>
      </c>
      <c r="K48" s="375">
        <v>1325566</v>
      </c>
      <c r="L48" s="375">
        <v>2468506</v>
      </c>
      <c r="M48" s="376"/>
      <c r="N48" s="376">
        <v>-149771</v>
      </c>
      <c r="O48" s="376">
        <v>-427914</v>
      </c>
      <c r="P48" s="376">
        <v>-577685</v>
      </c>
    </row>
    <row r="49" spans="1:16">
      <c r="A49" s="369">
        <v>2367</v>
      </c>
      <c r="B49" s="370" t="s">
        <v>40</v>
      </c>
      <c r="C49" s="378">
        <v>1942835</v>
      </c>
      <c r="D49" s="378">
        <v>10595</v>
      </c>
      <c r="E49" s="378">
        <v>381392</v>
      </c>
      <c r="F49" s="378">
        <v>94645</v>
      </c>
      <c r="G49" s="378">
        <v>486632</v>
      </c>
      <c r="H49" s="378"/>
      <c r="I49" s="378">
        <v>344995</v>
      </c>
      <c r="J49" s="378">
        <v>345034</v>
      </c>
      <c r="K49" s="378">
        <v>121556</v>
      </c>
      <c r="L49" s="378">
        <v>811585</v>
      </c>
      <c r="M49" s="379"/>
      <c r="N49" s="379">
        <v>-90421</v>
      </c>
      <c r="O49" s="379">
        <v>-11339</v>
      </c>
      <c r="P49" s="379">
        <v>-101760</v>
      </c>
    </row>
    <row r="50" spans="1:16">
      <c r="A50" s="367">
        <v>9027</v>
      </c>
      <c r="B50" s="371" t="s">
        <v>41</v>
      </c>
      <c r="C50" s="375">
        <v>2654130</v>
      </c>
      <c r="D50" s="375">
        <v>14473</v>
      </c>
      <c r="E50" s="375">
        <v>521025</v>
      </c>
      <c r="F50" s="375">
        <v>215995</v>
      </c>
      <c r="G50" s="375">
        <v>751493</v>
      </c>
      <c r="H50" s="375"/>
      <c r="I50" s="375">
        <v>471302</v>
      </c>
      <c r="J50" s="375">
        <v>471355</v>
      </c>
      <c r="K50" s="375">
        <v>295063</v>
      </c>
      <c r="L50" s="375">
        <v>1237720</v>
      </c>
      <c r="M50" s="376"/>
      <c r="N50" s="376">
        <v>-123526</v>
      </c>
      <c r="O50" s="376">
        <v>16878</v>
      </c>
      <c r="P50" s="376">
        <v>-106648</v>
      </c>
    </row>
    <row r="51" spans="1:16">
      <c r="A51" s="369">
        <v>2010</v>
      </c>
      <c r="B51" s="370" t="s">
        <v>42</v>
      </c>
      <c r="C51" s="378">
        <v>10965028</v>
      </c>
      <c r="D51" s="378">
        <v>59794</v>
      </c>
      <c r="E51" s="378">
        <v>2152514</v>
      </c>
      <c r="F51" s="378">
        <v>334111</v>
      </c>
      <c r="G51" s="378">
        <v>2546419</v>
      </c>
      <c r="H51" s="378"/>
      <c r="I51" s="378">
        <v>1947095</v>
      </c>
      <c r="J51" s="378">
        <v>1947314</v>
      </c>
      <c r="K51" s="378">
        <v>1302546</v>
      </c>
      <c r="L51" s="378">
        <v>5196955</v>
      </c>
      <c r="M51" s="379"/>
      <c r="N51" s="379">
        <v>-510323</v>
      </c>
      <c r="O51" s="379">
        <v>-159109</v>
      </c>
      <c r="P51" s="379">
        <v>-669432</v>
      </c>
    </row>
    <row r="52" spans="1:16">
      <c r="A52" s="367">
        <v>2020</v>
      </c>
      <c r="B52" s="371" t="s">
        <v>43</v>
      </c>
      <c r="C52" s="375">
        <v>288332715</v>
      </c>
      <c r="D52" s="375">
        <v>1572333</v>
      </c>
      <c r="E52" s="375">
        <v>56601776</v>
      </c>
      <c r="F52" s="375">
        <v>232372</v>
      </c>
      <c r="G52" s="375">
        <v>58406481</v>
      </c>
      <c r="H52" s="375"/>
      <c r="I52" s="375">
        <v>51200170</v>
      </c>
      <c r="J52" s="375">
        <v>51205917</v>
      </c>
      <c r="K52" s="375">
        <v>9656959</v>
      </c>
      <c r="L52" s="375">
        <v>112063046</v>
      </c>
      <c r="M52" s="376"/>
      <c r="N52" s="376">
        <v>-13419287</v>
      </c>
      <c r="O52" s="376">
        <v>-2318705</v>
      </c>
      <c r="P52" s="376">
        <v>-15737992</v>
      </c>
    </row>
    <row r="53" spans="1:16">
      <c r="A53" s="369">
        <v>2040</v>
      </c>
      <c r="B53" s="370" t="s">
        <v>44</v>
      </c>
      <c r="C53" s="378">
        <v>3748785</v>
      </c>
      <c r="D53" s="378">
        <v>20443</v>
      </c>
      <c r="E53" s="378">
        <v>735913</v>
      </c>
      <c r="F53" s="378">
        <v>70277</v>
      </c>
      <c r="G53" s="378">
        <v>826633</v>
      </c>
      <c r="H53" s="378"/>
      <c r="I53" s="378">
        <v>665684</v>
      </c>
      <c r="J53" s="378">
        <v>665759</v>
      </c>
      <c r="K53" s="378">
        <v>305352</v>
      </c>
      <c r="L53" s="378">
        <v>1636795</v>
      </c>
      <c r="M53" s="379"/>
      <c r="N53" s="379">
        <v>-174472</v>
      </c>
      <c r="O53" s="379">
        <v>-50219</v>
      </c>
      <c r="P53" s="379">
        <v>-224691</v>
      </c>
    </row>
    <row r="54" spans="1:16">
      <c r="A54" s="367">
        <v>2060</v>
      </c>
      <c r="B54" s="371" t="s">
        <v>45</v>
      </c>
      <c r="C54" s="375">
        <v>3208806</v>
      </c>
      <c r="D54" s="375">
        <v>17498</v>
      </c>
      <c r="E54" s="375">
        <v>629911</v>
      </c>
      <c r="F54" s="375">
        <v>21189</v>
      </c>
      <c r="G54" s="375">
        <v>668598</v>
      </c>
      <c r="H54" s="375"/>
      <c r="I54" s="375">
        <v>569798</v>
      </c>
      <c r="J54" s="375">
        <v>569862</v>
      </c>
      <c r="K54" s="375">
        <v>371770</v>
      </c>
      <c r="L54" s="375">
        <v>1511430</v>
      </c>
      <c r="M54" s="376"/>
      <c r="N54" s="376">
        <v>-149341</v>
      </c>
      <c r="O54" s="376">
        <v>-73996</v>
      </c>
      <c r="P54" s="376">
        <v>-223337</v>
      </c>
    </row>
    <row r="55" spans="1:16">
      <c r="A55" s="369">
        <v>2090</v>
      </c>
      <c r="B55" s="370" t="s">
        <v>46</v>
      </c>
      <c r="C55" s="378">
        <v>3249955</v>
      </c>
      <c r="D55" s="378">
        <v>17723</v>
      </c>
      <c r="E55" s="378">
        <v>637989</v>
      </c>
      <c r="F55" s="402">
        <v>0</v>
      </c>
      <c r="G55" s="378">
        <v>655712</v>
      </c>
      <c r="H55" s="378"/>
      <c r="I55" s="378">
        <v>577105</v>
      </c>
      <c r="J55" s="378">
        <v>577170</v>
      </c>
      <c r="K55" s="378">
        <v>1035530</v>
      </c>
      <c r="L55" s="378">
        <v>2189805</v>
      </c>
      <c r="M55" s="379"/>
      <c r="N55" s="379">
        <v>-151256</v>
      </c>
      <c r="O55" s="379">
        <v>-343418</v>
      </c>
      <c r="P55" s="379">
        <v>-494674</v>
      </c>
    </row>
    <row r="56" spans="1:16">
      <c r="A56" s="367">
        <v>2110</v>
      </c>
      <c r="B56" s="371" t="s">
        <v>47</v>
      </c>
      <c r="C56" s="375">
        <v>26427087</v>
      </c>
      <c r="D56" s="375">
        <v>144112</v>
      </c>
      <c r="E56" s="375">
        <v>5187826</v>
      </c>
      <c r="F56" s="375">
        <v>656429</v>
      </c>
      <c r="G56" s="375">
        <v>5988367</v>
      </c>
      <c r="H56" s="375"/>
      <c r="I56" s="375">
        <v>4692743</v>
      </c>
      <c r="J56" s="375">
        <v>4693270</v>
      </c>
      <c r="K56" s="375">
        <v>603383</v>
      </c>
      <c r="L56" s="375">
        <v>9989396</v>
      </c>
      <c r="M56" s="376"/>
      <c r="N56" s="376">
        <v>-1229943</v>
      </c>
      <c r="O56" s="376">
        <v>78399</v>
      </c>
      <c r="P56" s="376">
        <v>-1151544</v>
      </c>
    </row>
    <row r="57" spans="1:16">
      <c r="A57" s="369">
        <v>2180</v>
      </c>
      <c r="B57" s="370" t="s">
        <v>48</v>
      </c>
      <c r="C57" s="378">
        <v>11907263</v>
      </c>
      <c r="D57" s="378">
        <v>64933</v>
      </c>
      <c r="E57" s="378">
        <v>2337481</v>
      </c>
      <c r="F57" s="378">
        <v>205016</v>
      </c>
      <c r="G57" s="378">
        <v>2607430</v>
      </c>
      <c r="H57" s="378"/>
      <c r="I57" s="378">
        <v>2114411</v>
      </c>
      <c r="J57" s="378">
        <v>2114648</v>
      </c>
      <c r="K57" s="378">
        <v>1174951</v>
      </c>
      <c r="L57" s="378">
        <v>5404010</v>
      </c>
      <c r="M57" s="379"/>
      <c r="N57" s="379">
        <v>-554176</v>
      </c>
      <c r="O57" s="379">
        <v>-179356</v>
      </c>
      <c r="P57" s="379">
        <v>-733532</v>
      </c>
    </row>
    <row r="58" spans="1:16">
      <c r="A58" s="367">
        <v>2210</v>
      </c>
      <c r="B58" s="371" t="s">
        <v>49</v>
      </c>
      <c r="C58" s="375">
        <v>5698758</v>
      </c>
      <c r="D58" s="375">
        <v>31076</v>
      </c>
      <c r="E58" s="375">
        <v>1118707</v>
      </c>
      <c r="F58" s="401">
        <v>0</v>
      </c>
      <c r="G58" s="375">
        <v>1149783</v>
      </c>
      <c r="H58" s="375"/>
      <c r="I58" s="375">
        <v>1011947</v>
      </c>
      <c r="J58" s="375">
        <v>1012060</v>
      </c>
      <c r="K58" s="375">
        <v>652492</v>
      </c>
      <c r="L58" s="375">
        <v>2676499</v>
      </c>
      <c r="M58" s="376"/>
      <c r="N58" s="376">
        <v>-265226</v>
      </c>
      <c r="O58" s="376">
        <v>-161326</v>
      </c>
      <c r="P58" s="376">
        <v>-426552</v>
      </c>
    </row>
    <row r="59" spans="1:16">
      <c r="A59" s="369">
        <v>2290</v>
      </c>
      <c r="B59" s="370" t="s">
        <v>50</v>
      </c>
      <c r="C59" s="378">
        <v>5477895</v>
      </c>
      <c r="D59" s="378">
        <v>29872</v>
      </c>
      <c r="E59" s="378">
        <v>1075350</v>
      </c>
      <c r="F59" s="378">
        <v>134649</v>
      </c>
      <c r="G59" s="378">
        <v>1239871</v>
      </c>
      <c r="H59" s="378"/>
      <c r="I59" s="378">
        <v>972728</v>
      </c>
      <c r="J59" s="378">
        <v>972837</v>
      </c>
      <c r="K59" s="378">
        <v>303984</v>
      </c>
      <c r="L59" s="378">
        <v>2249549</v>
      </c>
      <c r="M59" s="379"/>
      <c r="N59" s="379">
        <v>-254947</v>
      </c>
      <c r="O59" s="379">
        <v>-30594</v>
      </c>
      <c r="P59" s="379">
        <v>-285541</v>
      </c>
    </row>
    <row r="60" spans="1:16">
      <c r="A60" s="367">
        <v>2310</v>
      </c>
      <c r="B60" s="371" t="s">
        <v>51</v>
      </c>
      <c r="C60" s="375">
        <v>40634512</v>
      </c>
      <c r="D60" s="375">
        <v>221588</v>
      </c>
      <c r="E60" s="375">
        <v>7976846</v>
      </c>
      <c r="F60" s="375">
        <v>3185063</v>
      </c>
      <c r="G60" s="375">
        <v>11383497</v>
      </c>
      <c r="H60" s="375"/>
      <c r="I60" s="375">
        <v>7215601</v>
      </c>
      <c r="J60" s="375">
        <v>7216411</v>
      </c>
      <c r="K60" s="375">
        <v>7273408</v>
      </c>
      <c r="L60" s="375">
        <v>21705420</v>
      </c>
      <c r="M60" s="376"/>
      <c r="N60" s="376">
        <v>-1891170</v>
      </c>
      <c r="O60" s="376">
        <v>-901126</v>
      </c>
      <c r="P60" s="376">
        <v>-2792296</v>
      </c>
    </row>
    <row r="61" spans="1:16">
      <c r="A61" s="369">
        <v>2330</v>
      </c>
      <c r="B61" s="370" t="s">
        <v>52</v>
      </c>
      <c r="C61" s="378">
        <v>14164596</v>
      </c>
      <c r="D61" s="378">
        <v>77242</v>
      </c>
      <c r="E61" s="378">
        <v>2780612</v>
      </c>
      <c r="F61" s="378">
        <v>1574792</v>
      </c>
      <c r="G61" s="378">
        <v>4432646</v>
      </c>
      <c r="H61" s="378"/>
      <c r="I61" s="378">
        <v>2515253</v>
      </c>
      <c r="J61" s="378">
        <v>2515535</v>
      </c>
      <c r="K61" s="378">
        <v>3016981</v>
      </c>
      <c r="L61" s="378">
        <v>8047769</v>
      </c>
      <c r="M61" s="379"/>
      <c r="N61" s="379">
        <v>-659234</v>
      </c>
      <c r="O61" s="379">
        <v>-231729</v>
      </c>
      <c r="P61" s="379">
        <v>-890963</v>
      </c>
    </row>
    <row r="62" spans="1:16">
      <c r="A62" s="367">
        <v>2380</v>
      </c>
      <c r="B62" s="371" t="s">
        <v>53</v>
      </c>
      <c r="C62" s="375">
        <v>1657729</v>
      </c>
      <c r="D62" s="375">
        <v>9040</v>
      </c>
      <c r="E62" s="375">
        <v>325424</v>
      </c>
      <c r="F62" s="375">
        <v>629653</v>
      </c>
      <c r="G62" s="375">
        <v>964117</v>
      </c>
      <c r="H62" s="375"/>
      <c r="I62" s="375">
        <v>294368</v>
      </c>
      <c r="J62" s="375">
        <v>294401</v>
      </c>
      <c r="K62" s="401">
        <v>0</v>
      </c>
      <c r="L62" s="375">
        <v>588769</v>
      </c>
      <c r="M62" s="376"/>
      <c r="N62" s="376">
        <v>-77152</v>
      </c>
      <c r="O62" s="376">
        <v>151841</v>
      </c>
      <c r="P62" s="376">
        <v>74689</v>
      </c>
    </row>
    <row r="63" spans="1:16">
      <c r="A63" s="369">
        <v>2400</v>
      </c>
      <c r="B63" s="370" t="s">
        <v>54</v>
      </c>
      <c r="C63" s="378">
        <v>66983500</v>
      </c>
      <c r="D63" s="378">
        <v>365274</v>
      </c>
      <c r="E63" s="378">
        <v>13149341</v>
      </c>
      <c r="F63" s="378">
        <v>4948342</v>
      </c>
      <c r="G63" s="378">
        <v>18462957</v>
      </c>
      <c r="H63" s="378"/>
      <c r="I63" s="378">
        <v>11894476</v>
      </c>
      <c r="J63" s="378">
        <v>11895811</v>
      </c>
      <c r="K63" s="378">
        <v>6304296</v>
      </c>
      <c r="L63" s="378">
        <v>30094583</v>
      </c>
      <c r="M63" s="379"/>
      <c r="N63" s="379">
        <v>-3117478</v>
      </c>
      <c r="O63" s="379">
        <v>-62202</v>
      </c>
      <c r="P63" s="379">
        <v>-3179680</v>
      </c>
    </row>
    <row r="64" spans="1:16">
      <c r="A64" s="367">
        <v>2410</v>
      </c>
      <c r="B64" s="371" t="s">
        <v>55</v>
      </c>
      <c r="C64" s="375">
        <v>8044688</v>
      </c>
      <c r="D64" s="375">
        <v>43869</v>
      </c>
      <c r="E64" s="375">
        <v>1579230</v>
      </c>
      <c r="F64" s="375">
        <v>492200</v>
      </c>
      <c r="G64" s="375">
        <v>2115299</v>
      </c>
      <c r="H64" s="375"/>
      <c r="I64" s="375">
        <v>1428521</v>
      </c>
      <c r="J64" s="375">
        <v>1428682</v>
      </c>
      <c r="K64" s="375">
        <v>1378196</v>
      </c>
      <c r="L64" s="375">
        <v>4235399</v>
      </c>
      <c r="M64" s="376"/>
      <c r="N64" s="376">
        <v>-374408</v>
      </c>
      <c r="O64" s="376">
        <v>-284339</v>
      </c>
      <c r="P64" s="376">
        <v>-658747</v>
      </c>
    </row>
    <row r="65" spans="1:16">
      <c r="A65" s="369">
        <v>2500</v>
      </c>
      <c r="B65" s="370" t="s">
        <v>56</v>
      </c>
      <c r="C65" s="378">
        <v>1171495</v>
      </c>
      <c r="D65" s="378">
        <v>6388</v>
      </c>
      <c r="E65" s="378">
        <v>229973</v>
      </c>
      <c r="F65" s="378">
        <v>138617</v>
      </c>
      <c r="G65" s="378">
        <v>374978</v>
      </c>
      <c r="H65" s="378"/>
      <c r="I65" s="378">
        <v>208026</v>
      </c>
      <c r="J65" s="378">
        <v>208050</v>
      </c>
      <c r="K65" s="378">
        <v>238005</v>
      </c>
      <c r="L65" s="378">
        <v>654081</v>
      </c>
      <c r="M65" s="379"/>
      <c r="N65" s="379">
        <v>-54523</v>
      </c>
      <c r="O65" s="379">
        <v>-9934</v>
      </c>
      <c r="P65" s="379">
        <v>-64457</v>
      </c>
    </row>
    <row r="66" spans="1:16">
      <c r="A66" s="367">
        <v>2550</v>
      </c>
      <c r="B66" s="371" t="s">
        <v>57</v>
      </c>
      <c r="C66" s="375">
        <v>5025253</v>
      </c>
      <c r="D66" s="375">
        <v>27404</v>
      </c>
      <c r="E66" s="375">
        <v>986493</v>
      </c>
      <c r="F66" s="375">
        <v>25660</v>
      </c>
      <c r="G66" s="375">
        <v>1039557</v>
      </c>
      <c r="H66" s="375"/>
      <c r="I66" s="375">
        <v>892350</v>
      </c>
      <c r="J66" s="375">
        <v>892451</v>
      </c>
      <c r="K66" s="375">
        <v>513360</v>
      </c>
      <c r="L66" s="375">
        <v>2298161</v>
      </c>
      <c r="M66" s="376"/>
      <c r="N66" s="376">
        <v>-233880</v>
      </c>
      <c r="O66" s="376">
        <v>-111115</v>
      </c>
      <c r="P66" s="376">
        <v>-344995</v>
      </c>
    </row>
    <row r="67" spans="1:16">
      <c r="A67" s="369">
        <v>2570</v>
      </c>
      <c r="B67" s="370" t="s">
        <v>58</v>
      </c>
      <c r="C67" s="378">
        <v>3218463</v>
      </c>
      <c r="D67" s="378">
        <v>17551</v>
      </c>
      <c r="E67" s="378">
        <v>631807</v>
      </c>
      <c r="F67" s="402">
        <v>0</v>
      </c>
      <c r="G67" s="378">
        <v>649358</v>
      </c>
      <c r="H67" s="378"/>
      <c r="I67" s="378">
        <v>571513</v>
      </c>
      <c r="J67" s="378">
        <v>571577</v>
      </c>
      <c r="K67" s="378">
        <v>330844</v>
      </c>
      <c r="L67" s="378">
        <v>1473934</v>
      </c>
      <c r="M67" s="379"/>
      <c r="N67" s="379">
        <v>-149790</v>
      </c>
      <c r="O67" s="379">
        <v>-83370</v>
      </c>
      <c r="P67" s="379">
        <v>-233160</v>
      </c>
    </row>
    <row r="68" spans="1:16">
      <c r="A68" s="367">
        <v>2620</v>
      </c>
      <c r="B68" s="371" t="s">
        <v>59</v>
      </c>
      <c r="C68" s="375">
        <v>30404293</v>
      </c>
      <c r="D68" s="375">
        <v>165800</v>
      </c>
      <c r="E68" s="375">
        <v>5968580</v>
      </c>
      <c r="F68" s="375">
        <v>698317</v>
      </c>
      <c r="G68" s="375">
        <v>6832697</v>
      </c>
      <c r="H68" s="375"/>
      <c r="I68" s="375">
        <v>5398988</v>
      </c>
      <c r="J68" s="375">
        <v>5399594</v>
      </c>
      <c r="K68" s="375">
        <v>1300642</v>
      </c>
      <c r="L68" s="375">
        <v>12099224</v>
      </c>
      <c r="M68" s="376"/>
      <c r="N68" s="376">
        <v>-1415046</v>
      </c>
      <c r="O68" s="376">
        <v>-307304</v>
      </c>
      <c r="P68" s="376">
        <v>-1722350</v>
      </c>
    </row>
    <row r="69" spans="1:16">
      <c r="A69" s="369">
        <v>2630</v>
      </c>
      <c r="B69" s="370" t="s">
        <v>60</v>
      </c>
      <c r="C69" s="378">
        <v>23717112</v>
      </c>
      <c r="D69" s="378">
        <v>129334</v>
      </c>
      <c r="E69" s="378">
        <v>4655839</v>
      </c>
      <c r="F69" s="378">
        <v>1205466</v>
      </c>
      <c r="G69" s="378">
        <v>5990639</v>
      </c>
      <c r="H69" s="378"/>
      <c r="I69" s="378">
        <v>4211524</v>
      </c>
      <c r="J69" s="378">
        <v>4211997</v>
      </c>
      <c r="K69" s="378">
        <v>1025880</v>
      </c>
      <c r="L69" s="378">
        <v>9449401</v>
      </c>
      <c r="M69" s="379"/>
      <c r="N69" s="379">
        <v>-1103818</v>
      </c>
      <c r="O69" s="379">
        <v>186256</v>
      </c>
      <c r="P69" s="379">
        <v>-917562</v>
      </c>
    </row>
    <row r="70" spans="1:16">
      <c r="A70" s="367">
        <v>2690</v>
      </c>
      <c r="B70" s="371" t="s">
        <v>61</v>
      </c>
      <c r="C70" s="375">
        <v>62373099</v>
      </c>
      <c r="D70" s="375">
        <v>340132</v>
      </c>
      <c r="E70" s="375">
        <v>12244286</v>
      </c>
      <c r="F70" s="375">
        <v>1902026</v>
      </c>
      <c r="G70" s="375">
        <v>14486444</v>
      </c>
      <c r="H70" s="375"/>
      <c r="I70" s="375">
        <v>11075792</v>
      </c>
      <c r="J70" s="375">
        <v>11077036</v>
      </c>
      <c r="K70" s="375">
        <v>6417875</v>
      </c>
      <c r="L70" s="375">
        <v>28570703</v>
      </c>
      <c r="M70" s="376"/>
      <c r="N70" s="376">
        <v>-2902905</v>
      </c>
      <c r="O70" s="376">
        <v>-784152</v>
      </c>
      <c r="P70" s="376">
        <v>-3687057</v>
      </c>
    </row>
    <row r="71" spans="1:16">
      <c r="A71" s="369">
        <v>2710</v>
      </c>
      <c r="B71" s="370" t="s">
        <v>62</v>
      </c>
      <c r="C71" s="378">
        <v>1159738</v>
      </c>
      <c r="D71" s="378">
        <v>6324</v>
      </c>
      <c r="E71" s="378">
        <v>227665</v>
      </c>
      <c r="F71" s="378">
        <v>25396</v>
      </c>
      <c r="G71" s="378">
        <v>259385</v>
      </c>
      <c r="H71" s="378"/>
      <c r="I71" s="378">
        <v>205938</v>
      </c>
      <c r="J71" s="378">
        <v>205962</v>
      </c>
      <c r="K71" s="378">
        <v>333609</v>
      </c>
      <c r="L71" s="378">
        <v>745509</v>
      </c>
      <c r="M71" s="379"/>
      <c r="N71" s="379">
        <v>-53975</v>
      </c>
      <c r="O71" s="379">
        <v>-65877</v>
      </c>
      <c r="P71" s="379">
        <v>-119852</v>
      </c>
    </row>
    <row r="72" spans="1:16">
      <c r="A72" s="367">
        <v>2730</v>
      </c>
      <c r="B72" s="371" t="s">
        <v>63</v>
      </c>
      <c r="C72" s="375">
        <v>4105272</v>
      </c>
      <c r="D72" s="375">
        <v>22387</v>
      </c>
      <c r="E72" s="375">
        <v>805894</v>
      </c>
      <c r="F72" s="401">
        <v>0</v>
      </c>
      <c r="G72" s="375">
        <v>828281</v>
      </c>
      <c r="H72" s="375"/>
      <c r="I72" s="375">
        <v>728986</v>
      </c>
      <c r="J72" s="375">
        <v>729068</v>
      </c>
      <c r="K72" s="375">
        <v>526124</v>
      </c>
      <c r="L72" s="375">
        <v>1984178</v>
      </c>
      <c r="M72" s="376"/>
      <c r="N72" s="376">
        <v>-191063</v>
      </c>
      <c r="O72" s="376">
        <v>-129008</v>
      </c>
      <c r="P72" s="376">
        <v>-320071</v>
      </c>
    </row>
    <row r="73" spans="1:16">
      <c r="A73" s="369">
        <v>2950</v>
      </c>
      <c r="B73" s="370" t="s">
        <v>64</v>
      </c>
      <c r="C73" s="393">
        <v>3437646</v>
      </c>
      <c r="D73" s="393">
        <v>18746</v>
      </c>
      <c r="E73" s="393">
        <v>674835</v>
      </c>
      <c r="F73" s="393">
        <v>490109</v>
      </c>
      <c r="G73" s="393">
        <v>1183690</v>
      </c>
      <c r="H73" s="393"/>
      <c r="I73" s="393">
        <v>610434</v>
      </c>
      <c r="J73" s="393">
        <v>610502</v>
      </c>
      <c r="K73" s="393">
        <v>381017</v>
      </c>
      <c r="L73" s="393">
        <v>1601953</v>
      </c>
      <c r="M73" s="394"/>
      <c r="N73" s="394">
        <v>-159991</v>
      </c>
      <c r="O73" s="394">
        <v>96263</v>
      </c>
      <c r="P73" s="394">
        <v>-63728</v>
      </c>
    </row>
    <row r="74" spans="1:16">
      <c r="A74" s="367">
        <v>2760</v>
      </c>
      <c r="B74" s="371" t="s">
        <v>65</v>
      </c>
      <c r="C74" s="375">
        <v>3163457</v>
      </c>
      <c r="D74" s="375">
        <v>17251</v>
      </c>
      <c r="E74" s="375">
        <v>621009</v>
      </c>
      <c r="F74" s="375">
        <v>71716</v>
      </c>
      <c r="G74" s="375">
        <v>709976</v>
      </c>
      <c r="H74" s="375"/>
      <c r="I74" s="375">
        <v>561745</v>
      </c>
      <c r="J74" s="375">
        <v>561808</v>
      </c>
      <c r="K74" s="375">
        <v>182932</v>
      </c>
      <c r="L74" s="375">
        <v>1306485</v>
      </c>
      <c r="M74" s="376"/>
      <c r="N74" s="376">
        <v>-147230</v>
      </c>
      <c r="O74" s="376">
        <v>-30382</v>
      </c>
      <c r="P74" s="376">
        <v>-177612</v>
      </c>
    </row>
    <row r="75" spans="1:16">
      <c r="A75" s="369">
        <v>2780</v>
      </c>
      <c r="B75" s="370" t="s">
        <v>66</v>
      </c>
      <c r="C75" s="378">
        <v>290984</v>
      </c>
      <c r="D75" s="378">
        <v>1587</v>
      </c>
      <c r="E75" s="378">
        <v>57122</v>
      </c>
      <c r="F75" s="378">
        <v>24543</v>
      </c>
      <c r="G75" s="378">
        <v>83252</v>
      </c>
      <c r="H75" s="378"/>
      <c r="I75" s="378">
        <v>51671</v>
      </c>
      <c r="J75" s="378">
        <v>51677</v>
      </c>
      <c r="K75" s="378">
        <v>47039</v>
      </c>
      <c r="L75" s="378">
        <v>150387</v>
      </c>
      <c r="M75" s="379"/>
      <c r="N75" s="379">
        <v>-13543</v>
      </c>
      <c r="O75" s="379">
        <v>-2557</v>
      </c>
      <c r="P75" s="379">
        <v>-16100</v>
      </c>
    </row>
    <row r="76" spans="1:16">
      <c r="A76" s="367">
        <v>2810</v>
      </c>
      <c r="B76" s="371" t="s">
        <v>67</v>
      </c>
      <c r="C76" s="375">
        <v>3075700</v>
      </c>
      <c r="D76" s="375">
        <v>16772</v>
      </c>
      <c r="E76" s="375">
        <v>603782</v>
      </c>
      <c r="F76" s="375">
        <v>383845</v>
      </c>
      <c r="G76" s="375">
        <v>1004399</v>
      </c>
      <c r="H76" s="375"/>
      <c r="I76" s="375">
        <v>546162</v>
      </c>
      <c r="J76" s="375">
        <v>546223</v>
      </c>
      <c r="K76" s="375">
        <v>710882</v>
      </c>
      <c r="L76" s="375">
        <v>1803267</v>
      </c>
      <c r="M76" s="376"/>
      <c r="N76" s="376">
        <v>-143146</v>
      </c>
      <c r="O76" s="376">
        <v>-38594</v>
      </c>
      <c r="P76" s="376">
        <v>-181740</v>
      </c>
    </row>
    <row r="77" spans="1:16">
      <c r="A77" s="369">
        <v>18056</v>
      </c>
      <c r="B77" s="370" t="s">
        <v>68</v>
      </c>
      <c r="C77" s="378">
        <v>3169756</v>
      </c>
      <c r="D77" s="378">
        <v>17285</v>
      </c>
      <c r="E77" s="378">
        <v>622246</v>
      </c>
      <c r="F77" s="378">
        <v>742366</v>
      </c>
      <c r="G77" s="378">
        <v>1381897</v>
      </c>
      <c r="H77" s="378"/>
      <c r="I77" s="378">
        <v>562864</v>
      </c>
      <c r="J77" s="378">
        <v>562927</v>
      </c>
      <c r="K77" s="378">
        <v>198117</v>
      </c>
      <c r="L77" s="378">
        <v>1323908</v>
      </c>
      <c r="M77" s="379"/>
      <c r="N77" s="379">
        <v>-147524</v>
      </c>
      <c r="O77" s="379">
        <v>171484</v>
      </c>
      <c r="P77" s="379">
        <v>23960</v>
      </c>
    </row>
    <row r="78" spans="1:16">
      <c r="A78" s="367">
        <v>15047</v>
      </c>
      <c r="B78" s="371" t="s">
        <v>69</v>
      </c>
      <c r="C78" s="375">
        <v>2370703</v>
      </c>
      <c r="D78" s="375">
        <v>12928</v>
      </c>
      <c r="E78" s="375">
        <v>465386</v>
      </c>
      <c r="F78" s="375">
        <v>326340</v>
      </c>
      <c r="G78" s="375">
        <v>804654</v>
      </c>
      <c r="H78" s="375"/>
      <c r="I78" s="375">
        <v>420973</v>
      </c>
      <c r="J78" s="375">
        <v>421021</v>
      </c>
      <c r="K78" s="375">
        <v>118659</v>
      </c>
      <c r="L78" s="375">
        <v>960653</v>
      </c>
      <c r="M78" s="376"/>
      <c r="N78" s="376">
        <v>-110335</v>
      </c>
      <c r="O78" s="376">
        <v>38008</v>
      </c>
      <c r="P78" s="376">
        <v>-72327</v>
      </c>
    </row>
    <row r="79" spans="1:16">
      <c r="A79" s="369">
        <v>5012</v>
      </c>
      <c r="B79" s="370" t="s">
        <v>70</v>
      </c>
      <c r="C79" s="378">
        <v>41296680</v>
      </c>
      <c r="D79" s="378">
        <v>225199</v>
      </c>
      <c r="E79" s="378">
        <v>8106834</v>
      </c>
      <c r="F79" s="378">
        <v>1764884</v>
      </c>
      <c r="G79" s="378">
        <v>10096917</v>
      </c>
      <c r="H79" s="378"/>
      <c r="I79" s="378">
        <v>7333185</v>
      </c>
      <c r="J79" s="378">
        <v>7334008</v>
      </c>
      <c r="K79" s="378">
        <v>647678</v>
      </c>
      <c r="L79" s="378">
        <v>15314871</v>
      </c>
      <c r="M79" s="379"/>
      <c r="N79" s="379">
        <v>-1921988</v>
      </c>
      <c r="O79" s="379">
        <v>307678</v>
      </c>
      <c r="P79" s="379">
        <v>-1614310</v>
      </c>
    </row>
    <row r="80" spans="1:16">
      <c r="A80" s="367">
        <v>8024</v>
      </c>
      <c r="B80" s="371" t="s">
        <v>71</v>
      </c>
      <c r="C80" s="375">
        <v>9280427</v>
      </c>
      <c r="D80" s="375">
        <v>50608</v>
      </c>
      <c r="E80" s="375">
        <v>1821814</v>
      </c>
      <c r="F80" s="375">
        <v>1650368</v>
      </c>
      <c r="G80" s="375">
        <v>3522790</v>
      </c>
      <c r="H80" s="375"/>
      <c r="I80" s="375">
        <v>1647955</v>
      </c>
      <c r="J80" s="375">
        <v>1648140</v>
      </c>
      <c r="K80" s="375">
        <v>740652</v>
      </c>
      <c r="L80" s="375">
        <v>4036747</v>
      </c>
      <c r="M80" s="376"/>
      <c r="N80" s="376">
        <v>-431920</v>
      </c>
      <c r="O80" s="376">
        <v>330802</v>
      </c>
      <c r="P80" s="376">
        <v>-101118</v>
      </c>
    </row>
    <row r="81" spans="1:16">
      <c r="A81" s="369">
        <v>3050</v>
      </c>
      <c r="B81" s="370" t="s">
        <v>72</v>
      </c>
      <c r="C81" s="378">
        <v>2924959</v>
      </c>
      <c r="D81" s="378">
        <v>15950</v>
      </c>
      <c r="E81" s="378">
        <v>574190</v>
      </c>
      <c r="F81" s="378">
        <v>259213</v>
      </c>
      <c r="G81" s="378">
        <v>849353</v>
      </c>
      <c r="H81" s="378"/>
      <c r="I81" s="378">
        <v>519394</v>
      </c>
      <c r="J81" s="378">
        <v>519453</v>
      </c>
      <c r="K81" s="378">
        <v>193592</v>
      </c>
      <c r="L81" s="378">
        <v>1232439</v>
      </c>
      <c r="M81" s="379"/>
      <c r="N81" s="379">
        <v>-136130</v>
      </c>
      <c r="O81" s="379">
        <v>22583</v>
      </c>
      <c r="P81" s="379">
        <v>-113547</v>
      </c>
    </row>
    <row r="82" spans="1:16">
      <c r="A82" s="367">
        <v>2421</v>
      </c>
      <c r="B82" s="371" t="s">
        <v>73</v>
      </c>
      <c r="C82" s="375">
        <v>1043429</v>
      </c>
      <c r="D82" s="375">
        <v>5690</v>
      </c>
      <c r="E82" s="375">
        <v>204833</v>
      </c>
      <c r="F82" s="401">
        <v>0</v>
      </c>
      <c r="G82" s="375">
        <v>210523</v>
      </c>
      <c r="H82" s="375"/>
      <c r="I82" s="375">
        <v>185285</v>
      </c>
      <c r="J82" s="375">
        <v>185306</v>
      </c>
      <c r="K82" s="375">
        <v>114468</v>
      </c>
      <c r="L82" s="375">
        <v>485059</v>
      </c>
      <c r="M82" s="376"/>
      <c r="N82" s="376">
        <v>-48562</v>
      </c>
      <c r="O82" s="376">
        <v>-33768</v>
      </c>
      <c r="P82" s="376">
        <v>-82330</v>
      </c>
    </row>
    <row r="83" spans="1:16">
      <c r="A83" s="369">
        <v>26079</v>
      </c>
      <c r="B83" s="370" t="s">
        <v>74</v>
      </c>
      <c r="C83" s="378">
        <v>940136</v>
      </c>
      <c r="D83" s="378">
        <v>5127</v>
      </c>
      <c r="E83" s="378">
        <v>184555</v>
      </c>
      <c r="F83" s="378">
        <v>10052</v>
      </c>
      <c r="G83" s="378">
        <v>199734</v>
      </c>
      <c r="H83" s="378"/>
      <c r="I83" s="378">
        <v>166943</v>
      </c>
      <c r="J83" s="378">
        <v>166962</v>
      </c>
      <c r="K83" s="378">
        <v>98718</v>
      </c>
      <c r="L83" s="378">
        <v>432623</v>
      </c>
      <c r="M83" s="379"/>
      <c r="N83" s="379">
        <v>-43755</v>
      </c>
      <c r="O83" s="379">
        <v>-22445</v>
      </c>
      <c r="P83" s="379">
        <v>-66200</v>
      </c>
    </row>
    <row r="84" spans="1:16">
      <c r="A84" s="367">
        <v>2363</v>
      </c>
      <c r="B84" s="371" t="s">
        <v>75</v>
      </c>
      <c r="C84" s="375">
        <v>1210125</v>
      </c>
      <c r="D84" s="375">
        <v>6599</v>
      </c>
      <c r="E84" s="375">
        <v>237556</v>
      </c>
      <c r="F84" s="375">
        <v>8476</v>
      </c>
      <c r="G84" s="375">
        <v>252631</v>
      </c>
      <c r="H84" s="375"/>
      <c r="I84" s="375">
        <v>214886</v>
      </c>
      <c r="J84" s="375">
        <v>214910</v>
      </c>
      <c r="K84" s="375">
        <v>19032</v>
      </c>
      <c r="L84" s="375">
        <v>448828</v>
      </c>
      <c r="M84" s="376"/>
      <c r="N84" s="376">
        <v>-56320</v>
      </c>
      <c r="O84" s="376">
        <v>-3171</v>
      </c>
      <c r="P84" s="376">
        <v>-59491</v>
      </c>
    </row>
    <row r="85" spans="1:16">
      <c r="A85" s="369">
        <v>2364</v>
      </c>
      <c r="B85" s="370" t="s">
        <v>76</v>
      </c>
      <c r="C85" s="378">
        <v>2895987</v>
      </c>
      <c r="D85" s="378">
        <v>15792</v>
      </c>
      <c r="E85" s="378">
        <v>568503</v>
      </c>
      <c r="F85" s="378">
        <v>62006</v>
      </c>
      <c r="G85" s="378">
        <v>646301</v>
      </c>
      <c r="H85" s="378"/>
      <c r="I85" s="378">
        <v>514250</v>
      </c>
      <c r="J85" s="378">
        <v>514307</v>
      </c>
      <c r="K85" s="378">
        <v>103771</v>
      </c>
      <c r="L85" s="378">
        <v>1132328</v>
      </c>
      <c r="M85" s="379"/>
      <c r="N85" s="379">
        <v>-134782</v>
      </c>
      <c r="O85" s="379">
        <v>-20285</v>
      </c>
      <c r="P85" s="379">
        <v>-155067</v>
      </c>
    </row>
    <row r="86" spans="1:16">
      <c r="A86" s="367">
        <v>25319</v>
      </c>
      <c r="B86" s="371" t="s">
        <v>77</v>
      </c>
      <c r="C86" s="375">
        <v>886809</v>
      </c>
      <c r="D86" s="375">
        <v>4836</v>
      </c>
      <c r="E86" s="375">
        <v>174087</v>
      </c>
      <c r="F86" s="375">
        <v>51917</v>
      </c>
      <c r="G86" s="375">
        <v>230840</v>
      </c>
      <c r="H86" s="375"/>
      <c r="I86" s="375">
        <v>157474</v>
      </c>
      <c r="J86" s="375">
        <v>157491</v>
      </c>
      <c r="K86" s="401">
        <v>0</v>
      </c>
      <c r="L86" s="375">
        <v>314965</v>
      </c>
      <c r="M86" s="376"/>
      <c r="N86" s="376">
        <v>-41273</v>
      </c>
      <c r="O86" s="376">
        <v>13976</v>
      </c>
      <c r="P86" s="376">
        <v>-27297</v>
      </c>
    </row>
    <row r="87" spans="1:16">
      <c r="A87" s="369">
        <v>29087</v>
      </c>
      <c r="B87" s="370" t="s">
        <v>78</v>
      </c>
      <c r="C87" s="378">
        <v>5894427</v>
      </c>
      <c r="D87" s="378">
        <v>32143</v>
      </c>
      <c r="E87" s="378">
        <v>1157118</v>
      </c>
      <c r="F87" s="378">
        <v>1254087</v>
      </c>
      <c r="G87" s="378">
        <v>2443348</v>
      </c>
      <c r="H87" s="378"/>
      <c r="I87" s="378">
        <v>1046692</v>
      </c>
      <c r="J87" s="378">
        <v>1046810</v>
      </c>
      <c r="K87" s="378">
        <v>7935</v>
      </c>
      <c r="L87" s="378">
        <v>2101437</v>
      </c>
      <c r="M87" s="379"/>
      <c r="N87" s="379">
        <v>-274332</v>
      </c>
      <c r="O87" s="379">
        <v>270992</v>
      </c>
      <c r="P87" s="379">
        <v>-3340</v>
      </c>
    </row>
    <row r="88" spans="1:16">
      <c r="A88" s="367">
        <v>3060</v>
      </c>
      <c r="B88" s="371" t="s">
        <v>79</v>
      </c>
      <c r="C88" s="375">
        <v>5493851</v>
      </c>
      <c r="D88" s="375">
        <v>29959</v>
      </c>
      <c r="E88" s="375">
        <v>1078482</v>
      </c>
      <c r="F88" s="375">
        <v>136140</v>
      </c>
      <c r="G88" s="375">
        <v>1244581</v>
      </c>
      <c r="H88" s="375"/>
      <c r="I88" s="375">
        <v>975561</v>
      </c>
      <c r="J88" s="375">
        <v>975670</v>
      </c>
      <c r="K88" s="375">
        <v>362685</v>
      </c>
      <c r="L88" s="375">
        <v>2313916</v>
      </c>
      <c r="M88" s="376"/>
      <c r="N88" s="376">
        <v>-255689</v>
      </c>
      <c r="O88" s="376">
        <v>-55794</v>
      </c>
      <c r="P88" s="376">
        <v>-311483</v>
      </c>
    </row>
    <row r="89" spans="1:16">
      <c r="A89" s="369">
        <v>19301</v>
      </c>
      <c r="B89" s="370" t="s">
        <v>80</v>
      </c>
      <c r="C89" s="378">
        <v>749085</v>
      </c>
      <c r="D89" s="378">
        <v>4085</v>
      </c>
      <c r="E89" s="378">
        <v>147051</v>
      </c>
      <c r="F89" s="402">
        <v>0</v>
      </c>
      <c r="G89" s="378">
        <v>151136</v>
      </c>
      <c r="H89" s="378"/>
      <c r="I89" s="378">
        <v>133017</v>
      </c>
      <c r="J89" s="378">
        <v>133032</v>
      </c>
      <c r="K89" s="378">
        <v>195642</v>
      </c>
      <c r="L89" s="378">
        <v>461691</v>
      </c>
      <c r="M89" s="379"/>
      <c r="N89" s="379">
        <v>-34863</v>
      </c>
      <c r="O89" s="379">
        <v>-45714</v>
      </c>
      <c r="P89" s="379">
        <v>-80577</v>
      </c>
    </row>
    <row r="90" spans="1:16">
      <c r="A90" s="367">
        <v>19059</v>
      </c>
      <c r="B90" s="371" t="s">
        <v>81</v>
      </c>
      <c r="C90" s="375">
        <v>29793772</v>
      </c>
      <c r="D90" s="375">
        <v>162471</v>
      </c>
      <c r="E90" s="375">
        <v>5848731</v>
      </c>
      <c r="F90" s="375">
        <v>2680581</v>
      </c>
      <c r="G90" s="375">
        <v>8691783</v>
      </c>
      <c r="H90" s="375"/>
      <c r="I90" s="375">
        <v>5290576</v>
      </c>
      <c r="J90" s="375">
        <v>5291170</v>
      </c>
      <c r="K90" s="375">
        <v>560291</v>
      </c>
      <c r="L90" s="375">
        <v>11142037</v>
      </c>
      <c r="M90" s="376"/>
      <c r="N90" s="376">
        <v>-1386631</v>
      </c>
      <c r="O90" s="376">
        <v>394412</v>
      </c>
      <c r="P90" s="376">
        <v>-992219</v>
      </c>
    </row>
    <row r="91" spans="1:16">
      <c r="A91" s="369">
        <v>18057</v>
      </c>
      <c r="B91" s="370" t="s">
        <v>82</v>
      </c>
      <c r="C91" s="378">
        <v>1063164</v>
      </c>
      <c r="D91" s="378">
        <v>5798</v>
      </c>
      <c r="E91" s="378">
        <v>208707</v>
      </c>
      <c r="F91" s="378">
        <v>29363</v>
      </c>
      <c r="G91" s="378">
        <v>243868</v>
      </c>
      <c r="H91" s="378"/>
      <c r="I91" s="378">
        <v>188789</v>
      </c>
      <c r="J91" s="378">
        <v>188811</v>
      </c>
      <c r="K91" s="378">
        <v>48336</v>
      </c>
      <c r="L91" s="378">
        <v>425936</v>
      </c>
      <c r="M91" s="379"/>
      <c r="N91" s="379">
        <v>-49481</v>
      </c>
      <c r="O91" s="379">
        <v>45</v>
      </c>
      <c r="P91" s="379">
        <v>-49436</v>
      </c>
    </row>
    <row r="92" spans="1:16">
      <c r="A92" s="367">
        <v>4008</v>
      </c>
      <c r="B92" s="371" t="s">
        <v>83</v>
      </c>
      <c r="C92" s="375">
        <v>4770799</v>
      </c>
      <c r="D92" s="375">
        <v>26016</v>
      </c>
      <c r="E92" s="375">
        <v>936542</v>
      </c>
      <c r="F92" s="401">
        <v>0</v>
      </c>
      <c r="G92" s="375">
        <v>962558</v>
      </c>
      <c r="H92" s="375"/>
      <c r="I92" s="375">
        <v>847166</v>
      </c>
      <c r="J92" s="375">
        <v>847261</v>
      </c>
      <c r="K92" s="375">
        <v>721846</v>
      </c>
      <c r="L92" s="375">
        <v>2416273</v>
      </c>
      <c r="M92" s="376"/>
      <c r="N92" s="376">
        <v>-222038</v>
      </c>
      <c r="O92" s="376">
        <v>-213248</v>
      </c>
      <c r="P92" s="376">
        <v>-435286</v>
      </c>
    </row>
    <row r="93" spans="1:16">
      <c r="A93" s="382">
        <v>2350</v>
      </c>
      <c r="B93" s="383" t="s">
        <v>84</v>
      </c>
      <c r="C93" s="384">
        <v>1481795</v>
      </c>
      <c r="D93" s="384">
        <v>8081</v>
      </c>
      <c r="E93" s="384">
        <v>290887</v>
      </c>
      <c r="F93" s="384">
        <v>85096</v>
      </c>
      <c r="G93" s="384">
        <v>384064</v>
      </c>
      <c r="H93" s="384"/>
      <c r="I93" s="384">
        <v>263127</v>
      </c>
      <c r="J93" s="384">
        <v>263157</v>
      </c>
      <c r="K93" s="384">
        <v>129095</v>
      </c>
      <c r="L93" s="384">
        <v>655379</v>
      </c>
      <c r="M93" s="385"/>
      <c r="N93" s="385">
        <v>-68964</v>
      </c>
      <c r="O93" s="385">
        <v>-29774</v>
      </c>
      <c r="P93" s="385">
        <v>-98738</v>
      </c>
    </row>
    <row r="94" spans="1:16">
      <c r="A94" s="367">
        <v>11117</v>
      </c>
      <c r="B94" s="371" t="s">
        <v>85</v>
      </c>
      <c r="C94" s="375">
        <v>1778238</v>
      </c>
      <c r="D94" s="375">
        <v>9697</v>
      </c>
      <c r="E94" s="375">
        <v>349081</v>
      </c>
      <c r="F94" s="375">
        <v>12829</v>
      </c>
      <c r="G94" s="375">
        <v>371607</v>
      </c>
      <c r="H94" s="375"/>
      <c r="I94" s="375">
        <v>315767</v>
      </c>
      <c r="J94" s="375">
        <v>315803</v>
      </c>
      <c r="K94" s="375">
        <v>39536</v>
      </c>
      <c r="L94" s="375">
        <v>671106</v>
      </c>
      <c r="M94" s="376"/>
      <c r="N94" s="376">
        <v>-82761</v>
      </c>
      <c r="O94" s="376">
        <v>-9661</v>
      </c>
      <c r="P94" s="376">
        <v>-92422</v>
      </c>
    </row>
    <row r="95" spans="1:16">
      <c r="A95" s="369">
        <v>16359</v>
      </c>
      <c r="B95" s="370" t="s">
        <v>86</v>
      </c>
      <c r="C95" s="378">
        <v>244796</v>
      </c>
      <c r="D95" s="378">
        <v>1335</v>
      </c>
      <c r="E95" s="378">
        <v>48055</v>
      </c>
      <c r="F95" s="378">
        <v>48643</v>
      </c>
      <c r="G95" s="378">
        <v>98033</v>
      </c>
      <c r="H95" s="378"/>
      <c r="I95" s="378">
        <v>43469</v>
      </c>
      <c r="J95" s="378">
        <v>43474</v>
      </c>
      <c r="K95" s="378">
        <v>34609</v>
      </c>
      <c r="L95" s="378">
        <v>121552</v>
      </c>
      <c r="M95" s="379"/>
      <c r="N95" s="379">
        <v>-11393</v>
      </c>
      <c r="O95" s="379">
        <v>6306</v>
      </c>
      <c r="P95" s="379">
        <v>-5087</v>
      </c>
    </row>
    <row r="96" spans="1:16">
      <c r="A96" s="367">
        <v>17115</v>
      </c>
      <c r="B96" s="371" t="s">
        <v>87</v>
      </c>
      <c r="C96" s="375">
        <v>5581608</v>
      </c>
      <c r="D96" s="375">
        <v>30438</v>
      </c>
      <c r="E96" s="375">
        <v>1095710</v>
      </c>
      <c r="F96" s="375">
        <v>369187</v>
      </c>
      <c r="G96" s="375">
        <v>1495335</v>
      </c>
      <c r="H96" s="375"/>
      <c r="I96" s="375">
        <v>991144</v>
      </c>
      <c r="J96" s="375">
        <v>991255</v>
      </c>
      <c r="K96" s="401">
        <v>0</v>
      </c>
      <c r="L96" s="375">
        <v>1982399</v>
      </c>
      <c r="M96" s="376"/>
      <c r="N96" s="376">
        <v>-259774</v>
      </c>
      <c r="O96" s="376">
        <v>107341</v>
      </c>
      <c r="P96" s="376">
        <v>-152433</v>
      </c>
    </row>
    <row r="97" spans="1:16">
      <c r="A97" s="369">
        <v>32117</v>
      </c>
      <c r="B97" s="370" t="s">
        <v>88</v>
      </c>
      <c r="C97" s="378">
        <v>308200</v>
      </c>
      <c r="D97" s="378">
        <v>1681</v>
      </c>
      <c r="E97" s="378">
        <v>60502</v>
      </c>
      <c r="F97" s="378">
        <v>106057</v>
      </c>
      <c r="G97" s="378">
        <v>168240</v>
      </c>
      <c r="H97" s="378"/>
      <c r="I97" s="378">
        <v>54728</v>
      </c>
      <c r="J97" s="378">
        <v>54734</v>
      </c>
      <c r="K97" s="378">
        <v>4591</v>
      </c>
      <c r="L97" s="378">
        <v>114053</v>
      </c>
      <c r="M97" s="379"/>
      <c r="N97" s="379">
        <v>-14344</v>
      </c>
      <c r="O97" s="379">
        <v>28598</v>
      </c>
      <c r="P97" s="379">
        <v>14254</v>
      </c>
    </row>
    <row r="98" spans="1:16">
      <c r="A98" s="367">
        <v>2304</v>
      </c>
      <c r="B98" s="371" t="s">
        <v>89</v>
      </c>
      <c r="C98" s="375">
        <v>1899586</v>
      </c>
      <c r="D98" s="375">
        <v>10359</v>
      </c>
      <c r="E98" s="375">
        <v>372902</v>
      </c>
      <c r="F98" s="375">
        <v>36827</v>
      </c>
      <c r="G98" s="375">
        <v>420088</v>
      </c>
      <c r="H98" s="375"/>
      <c r="I98" s="375">
        <v>337316</v>
      </c>
      <c r="J98" s="375">
        <v>337353</v>
      </c>
      <c r="K98" s="375">
        <v>5819</v>
      </c>
      <c r="L98" s="375">
        <v>680488</v>
      </c>
      <c r="M98" s="376"/>
      <c r="N98" s="376">
        <v>-88409</v>
      </c>
      <c r="O98" s="376">
        <v>6586</v>
      </c>
      <c r="P98" s="376">
        <v>-81823</v>
      </c>
    </row>
    <row r="99" spans="1:16">
      <c r="A99" s="369">
        <v>11101</v>
      </c>
      <c r="B99" s="370" t="s">
        <v>91</v>
      </c>
      <c r="C99" s="378">
        <v>27414670</v>
      </c>
      <c r="D99" s="378">
        <v>149497</v>
      </c>
      <c r="E99" s="378">
        <v>5381696</v>
      </c>
      <c r="F99" s="378">
        <v>1380771</v>
      </c>
      <c r="G99" s="378">
        <v>6911964</v>
      </c>
      <c r="H99" s="378"/>
      <c r="I99" s="378">
        <v>4868111</v>
      </c>
      <c r="J99" s="378">
        <v>4868658</v>
      </c>
      <c r="K99" s="378">
        <v>3682299</v>
      </c>
      <c r="L99" s="378">
        <v>13419068</v>
      </c>
      <c r="M99" s="379"/>
      <c r="N99" s="379">
        <v>-1275906</v>
      </c>
      <c r="O99" s="379">
        <v>-656808</v>
      </c>
      <c r="P99" s="379">
        <v>-1932714</v>
      </c>
    </row>
    <row r="100" spans="1:16">
      <c r="A100" s="367">
        <v>11102</v>
      </c>
      <c r="B100" s="371" t="s">
        <v>90</v>
      </c>
      <c r="C100" s="375">
        <v>8783696</v>
      </c>
      <c r="D100" s="375">
        <v>47899</v>
      </c>
      <c r="E100" s="375">
        <v>1724302</v>
      </c>
      <c r="F100" s="375">
        <v>7142</v>
      </c>
      <c r="G100" s="375">
        <v>1779343</v>
      </c>
      <c r="H100" s="375"/>
      <c r="I100" s="375">
        <v>1559749</v>
      </c>
      <c r="J100" s="375">
        <v>1559924</v>
      </c>
      <c r="K100" s="375">
        <v>1189293</v>
      </c>
      <c r="L100" s="375">
        <v>4308966</v>
      </c>
      <c r="M100" s="376"/>
      <c r="N100" s="376">
        <v>-408802</v>
      </c>
      <c r="O100" s="376">
        <v>-253105</v>
      </c>
      <c r="P100" s="376">
        <v>-661907</v>
      </c>
    </row>
    <row r="101" spans="1:16">
      <c r="A101" s="369">
        <v>3100</v>
      </c>
      <c r="B101" s="370" t="s">
        <v>92</v>
      </c>
      <c r="C101" s="378">
        <v>17426308</v>
      </c>
      <c r="D101" s="378">
        <v>95029</v>
      </c>
      <c r="E101" s="378">
        <v>3420909</v>
      </c>
      <c r="F101" s="378">
        <v>686744</v>
      </c>
      <c r="G101" s="378">
        <v>4202682</v>
      </c>
      <c r="H101" s="378"/>
      <c r="I101" s="378">
        <v>3094446</v>
      </c>
      <c r="J101" s="378">
        <v>3094793</v>
      </c>
      <c r="K101" s="378">
        <v>570884</v>
      </c>
      <c r="L101" s="378">
        <v>6760123</v>
      </c>
      <c r="M101" s="379"/>
      <c r="N101" s="379">
        <v>-811037</v>
      </c>
      <c r="O101" s="379">
        <v>90820</v>
      </c>
      <c r="P101" s="379">
        <v>-720217</v>
      </c>
    </row>
    <row r="102" spans="1:16">
      <c r="A102" s="367">
        <v>2323</v>
      </c>
      <c r="B102" s="371" t="s">
        <v>93</v>
      </c>
      <c r="C102" s="375">
        <v>1808890</v>
      </c>
      <c r="D102" s="375">
        <v>9864</v>
      </c>
      <c r="E102" s="375">
        <v>355098</v>
      </c>
      <c r="F102" s="375">
        <v>208255</v>
      </c>
      <c r="G102" s="375">
        <v>573217</v>
      </c>
      <c r="H102" s="375"/>
      <c r="I102" s="375">
        <v>321210</v>
      </c>
      <c r="J102" s="375">
        <v>321246</v>
      </c>
      <c r="K102" s="375">
        <v>62389</v>
      </c>
      <c r="L102" s="375">
        <v>704845</v>
      </c>
      <c r="M102" s="376"/>
      <c r="N102" s="376">
        <v>-84187</v>
      </c>
      <c r="O102" s="376">
        <v>22392</v>
      </c>
      <c r="P102" s="376">
        <v>-61795</v>
      </c>
    </row>
    <row r="103" spans="1:16">
      <c r="A103" s="369">
        <v>11034</v>
      </c>
      <c r="B103" s="370" t="s">
        <v>94</v>
      </c>
      <c r="C103" s="378">
        <v>1333153</v>
      </c>
      <c r="D103" s="378">
        <v>7270</v>
      </c>
      <c r="E103" s="378">
        <v>261708</v>
      </c>
      <c r="F103" s="378">
        <v>305365</v>
      </c>
      <c r="G103" s="378">
        <v>574343</v>
      </c>
      <c r="H103" s="378"/>
      <c r="I103" s="378">
        <v>236732</v>
      </c>
      <c r="J103" s="378">
        <v>236759</v>
      </c>
      <c r="K103" s="378">
        <v>66928</v>
      </c>
      <c r="L103" s="378">
        <v>540419</v>
      </c>
      <c r="M103" s="379"/>
      <c r="N103" s="379">
        <v>-62046</v>
      </c>
      <c r="O103" s="379">
        <v>54386</v>
      </c>
      <c r="P103" s="379">
        <v>-7660</v>
      </c>
    </row>
    <row r="104" spans="1:16">
      <c r="A104" s="367">
        <v>17054</v>
      </c>
      <c r="B104" s="371" t="s">
        <v>95</v>
      </c>
      <c r="C104" s="375">
        <v>20291643</v>
      </c>
      <c r="D104" s="375">
        <v>110654</v>
      </c>
      <c r="E104" s="375">
        <v>3983395</v>
      </c>
      <c r="F104" s="375">
        <v>3442581</v>
      </c>
      <c r="G104" s="375">
        <v>7536630</v>
      </c>
      <c r="H104" s="375"/>
      <c r="I104" s="375">
        <v>3603252</v>
      </c>
      <c r="J104" s="375">
        <v>3603657</v>
      </c>
      <c r="K104" s="375">
        <v>127840</v>
      </c>
      <c r="L104" s="375">
        <v>7334749</v>
      </c>
      <c r="M104" s="376"/>
      <c r="N104" s="376">
        <v>-944393</v>
      </c>
      <c r="O104" s="376">
        <v>1169248</v>
      </c>
      <c r="P104" s="376">
        <v>224855</v>
      </c>
    </row>
    <row r="105" spans="1:16">
      <c r="A105" s="369">
        <v>22065</v>
      </c>
      <c r="B105" s="370" t="s">
        <v>96</v>
      </c>
      <c r="C105" s="378">
        <v>4284146</v>
      </c>
      <c r="D105" s="378">
        <v>23362</v>
      </c>
      <c r="E105" s="378">
        <v>841008</v>
      </c>
      <c r="F105" s="378">
        <v>232629</v>
      </c>
      <c r="G105" s="378">
        <v>1096999</v>
      </c>
      <c r="H105" s="378"/>
      <c r="I105" s="378">
        <v>760750</v>
      </c>
      <c r="J105" s="378">
        <v>760835</v>
      </c>
      <c r="K105" s="378">
        <v>42273</v>
      </c>
      <c r="L105" s="378">
        <v>1563858</v>
      </c>
      <c r="M105" s="379"/>
      <c r="N105" s="379">
        <v>-199388</v>
      </c>
      <c r="O105" s="379">
        <v>33798</v>
      </c>
      <c r="P105" s="379">
        <v>-165590</v>
      </c>
    </row>
    <row r="106" spans="1:16">
      <c r="A106" s="367">
        <v>22201</v>
      </c>
      <c r="B106" s="371" t="s">
        <v>97</v>
      </c>
      <c r="C106" s="375">
        <v>2168316</v>
      </c>
      <c r="D106" s="375">
        <v>11824</v>
      </c>
      <c r="E106" s="375">
        <v>425656</v>
      </c>
      <c r="F106" s="375">
        <v>492665</v>
      </c>
      <c r="G106" s="375">
        <v>930145</v>
      </c>
      <c r="H106" s="375"/>
      <c r="I106" s="375">
        <v>385035</v>
      </c>
      <c r="J106" s="375">
        <v>385078</v>
      </c>
      <c r="K106" s="401">
        <v>0</v>
      </c>
      <c r="L106" s="375">
        <v>770113</v>
      </c>
      <c r="M106" s="376"/>
      <c r="N106" s="376">
        <v>-100916</v>
      </c>
      <c r="O106" s="376">
        <v>124781</v>
      </c>
      <c r="P106" s="376">
        <v>23865</v>
      </c>
    </row>
    <row r="107" spans="1:16">
      <c r="A107" s="369">
        <v>6016</v>
      </c>
      <c r="B107" s="370" t="s">
        <v>98</v>
      </c>
      <c r="C107" s="378">
        <v>4492412</v>
      </c>
      <c r="D107" s="378">
        <v>24498</v>
      </c>
      <c r="E107" s="378">
        <v>881893</v>
      </c>
      <c r="F107" s="378">
        <v>474255</v>
      </c>
      <c r="G107" s="378">
        <v>1380646</v>
      </c>
      <c r="H107" s="378"/>
      <c r="I107" s="378">
        <v>797732</v>
      </c>
      <c r="J107" s="378">
        <v>797822</v>
      </c>
      <c r="K107" s="378">
        <v>34919</v>
      </c>
      <c r="L107" s="378">
        <v>1630473</v>
      </c>
      <c r="M107" s="379"/>
      <c r="N107" s="379">
        <v>-209081</v>
      </c>
      <c r="O107" s="379">
        <v>92131</v>
      </c>
      <c r="P107" s="379">
        <v>-116950</v>
      </c>
    </row>
    <row r="108" spans="1:16">
      <c r="A108" s="367">
        <v>2432</v>
      </c>
      <c r="B108" s="371" t="s">
        <v>99</v>
      </c>
      <c r="C108" s="375">
        <v>2298482</v>
      </c>
      <c r="D108" s="375">
        <v>12534</v>
      </c>
      <c r="E108" s="375">
        <v>451209</v>
      </c>
      <c r="F108" s="375">
        <v>841151</v>
      </c>
      <c r="G108" s="375">
        <v>1304894</v>
      </c>
      <c r="H108" s="375"/>
      <c r="I108" s="375">
        <v>408149</v>
      </c>
      <c r="J108" s="375">
        <v>408195</v>
      </c>
      <c r="K108" s="401">
        <v>0</v>
      </c>
      <c r="L108" s="375">
        <v>816344</v>
      </c>
      <c r="M108" s="376"/>
      <c r="N108" s="376">
        <v>-106974</v>
      </c>
      <c r="O108" s="376">
        <v>208110</v>
      </c>
      <c r="P108" s="376">
        <v>101136</v>
      </c>
    </row>
    <row r="109" spans="1:16">
      <c r="A109" s="369">
        <v>16052</v>
      </c>
      <c r="B109" s="370" t="s">
        <v>100</v>
      </c>
      <c r="C109" s="378">
        <v>57630013</v>
      </c>
      <c r="D109" s="378">
        <v>314267</v>
      </c>
      <c r="E109" s="378">
        <v>11313184</v>
      </c>
      <c r="F109" s="378">
        <v>5345577</v>
      </c>
      <c r="G109" s="378">
        <v>16973028</v>
      </c>
      <c r="H109" s="378"/>
      <c r="I109" s="378">
        <v>10233547</v>
      </c>
      <c r="J109" s="378">
        <v>10234696</v>
      </c>
      <c r="K109" s="378">
        <v>570608</v>
      </c>
      <c r="L109" s="378">
        <v>21038851</v>
      </c>
      <c r="M109" s="379"/>
      <c r="N109" s="379">
        <v>-2682157</v>
      </c>
      <c r="O109" s="379">
        <v>894275</v>
      </c>
      <c r="P109" s="379">
        <v>-1787882</v>
      </c>
    </row>
    <row r="110" spans="1:16">
      <c r="A110" s="367">
        <v>11118</v>
      </c>
      <c r="B110" s="371" t="s">
        <v>101</v>
      </c>
      <c r="C110" s="375">
        <v>1620778</v>
      </c>
      <c r="D110" s="375">
        <v>8838</v>
      </c>
      <c r="E110" s="375">
        <v>318170</v>
      </c>
      <c r="F110" s="375">
        <v>41123</v>
      </c>
      <c r="G110" s="375">
        <v>368131</v>
      </c>
      <c r="H110" s="375"/>
      <c r="I110" s="375">
        <v>287807</v>
      </c>
      <c r="J110" s="375">
        <v>287839</v>
      </c>
      <c r="K110" s="375">
        <v>99209</v>
      </c>
      <c r="L110" s="375">
        <v>674855</v>
      </c>
      <c r="M110" s="376"/>
      <c r="N110" s="376">
        <v>-75433</v>
      </c>
      <c r="O110" s="376">
        <v>-7198</v>
      </c>
      <c r="P110" s="376">
        <v>-82631</v>
      </c>
    </row>
    <row r="111" spans="1:16">
      <c r="A111" s="369">
        <v>27083</v>
      </c>
      <c r="B111" s="370" t="s">
        <v>102</v>
      </c>
      <c r="C111" s="378">
        <v>2367764</v>
      </c>
      <c r="D111" s="378">
        <v>12912</v>
      </c>
      <c r="E111" s="378">
        <v>464809</v>
      </c>
      <c r="F111" s="378">
        <v>153091</v>
      </c>
      <c r="G111" s="378">
        <v>630812</v>
      </c>
      <c r="H111" s="378"/>
      <c r="I111" s="378">
        <v>420452</v>
      </c>
      <c r="J111" s="378">
        <v>420499</v>
      </c>
      <c r="K111" s="378">
        <v>15886</v>
      </c>
      <c r="L111" s="378">
        <v>856837</v>
      </c>
      <c r="M111" s="379"/>
      <c r="N111" s="379">
        <v>-110198</v>
      </c>
      <c r="O111" s="379">
        <v>25983</v>
      </c>
      <c r="P111" s="379">
        <v>-84215</v>
      </c>
    </row>
    <row r="112" spans="1:16">
      <c r="A112" s="367">
        <v>7021</v>
      </c>
      <c r="B112" s="371" t="s">
        <v>103</v>
      </c>
      <c r="C112" s="375">
        <v>75435902</v>
      </c>
      <c r="D112" s="375">
        <v>411366</v>
      </c>
      <c r="E112" s="375">
        <v>14808608</v>
      </c>
      <c r="F112" s="375">
        <v>3237602</v>
      </c>
      <c r="G112" s="375">
        <v>18457576</v>
      </c>
      <c r="H112" s="375"/>
      <c r="I112" s="375">
        <v>13395396</v>
      </c>
      <c r="J112" s="375">
        <v>13396900</v>
      </c>
      <c r="K112" s="375">
        <v>1950436</v>
      </c>
      <c r="L112" s="375">
        <v>28742732</v>
      </c>
      <c r="M112" s="376"/>
      <c r="N112" s="376">
        <v>-3510861</v>
      </c>
      <c r="O112" s="376">
        <v>-42829</v>
      </c>
      <c r="P112" s="376">
        <v>-3553690</v>
      </c>
    </row>
    <row r="113" spans="1:16">
      <c r="A113" s="369">
        <v>4140</v>
      </c>
      <c r="B113" s="370" t="s">
        <v>104</v>
      </c>
      <c r="C113" s="378">
        <v>475736</v>
      </c>
      <c r="D113" s="378">
        <v>2594</v>
      </c>
      <c r="E113" s="378">
        <v>93390</v>
      </c>
      <c r="F113" s="378">
        <v>27796</v>
      </c>
      <c r="G113" s="378">
        <v>123780</v>
      </c>
      <c r="H113" s="378"/>
      <c r="I113" s="378">
        <v>84478</v>
      </c>
      <c r="J113" s="378">
        <v>84488</v>
      </c>
      <c r="K113" s="378">
        <v>25396</v>
      </c>
      <c r="L113" s="378">
        <v>194362</v>
      </c>
      <c r="M113" s="379"/>
      <c r="N113" s="379">
        <v>-22141</v>
      </c>
      <c r="O113" s="379">
        <v>-3755</v>
      </c>
      <c r="P113" s="379">
        <v>-25896</v>
      </c>
    </row>
    <row r="114" spans="1:16">
      <c r="A114" s="367">
        <v>13041</v>
      </c>
      <c r="B114" s="371" t="s">
        <v>105</v>
      </c>
      <c r="C114" s="375">
        <v>71087093</v>
      </c>
      <c r="D114" s="375">
        <v>387652</v>
      </c>
      <c r="E114" s="375">
        <v>13954905</v>
      </c>
      <c r="F114" s="375">
        <v>2341324</v>
      </c>
      <c r="G114" s="375">
        <v>16683881</v>
      </c>
      <c r="H114" s="375"/>
      <c r="I114" s="375">
        <v>12623164</v>
      </c>
      <c r="J114" s="375">
        <v>12624581</v>
      </c>
      <c r="K114" s="375">
        <v>716704</v>
      </c>
      <c r="L114" s="375">
        <v>25964449</v>
      </c>
      <c r="M114" s="376"/>
      <c r="N114" s="376">
        <v>-3308463</v>
      </c>
      <c r="O114" s="376">
        <v>590820</v>
      </c>
      <c r="P114" s="376">
        <v>-2717643</v>
      </c>
    </row>
    <row r="115" spans="1:16">
      <c r="A115" s="369">
        <v>2339</v>
      </c>
      <c r="B115" s="370" t="s">
        <v>106</v>
      </c>
      <c r="C115" s="378">
        <v>963649</v>
      </c>
      <c r="D115" s="378">
        <v>5255</v>
      </c>
      <c r="E115" s="378">
        <v>189171</v>
      </c>
      <c r="F115" s="402">
        <v>0</v>
      </c>
      <c r="G115" s="378">
        <v>194426</v>
      </c>
      <c r="H115" s="378"/>
      <c r="I115" s="378">
        <v>171118</v>
      </c>
      <c r="J115" s="378">
        <v>171138</v>
      </c>
      <c r="K115" s="378">
        <v>119180</v>
      </c>
      <c r="L115" s="378">
        <v>461436</v>
      </c>
      <c r="M115" s="379"/>
      <c r="N115" s="379">
        <v>-44849</v>
      </c>
      <c r="O115" s="379">
        <v>-36908</v>
      </c>
      <c r="P115" s="379">
        <v>-81757</v>
      </c>
    </row>
    <row r="116" spans="1:16">
      <c r="A116" s="367">
        <v>2362</v>
      </c>
      <c r="B116" s="371" t="s">
        <v>107</v>
      </c>
      <c r="C116" s="375">
        <v>1811829</v>
      </c>
      <c r="D116" s="375">
        <v>9880</v>
      </c>
      <c r="E116" s="375">
        <v>355675</v>
      </c>
      <c r="F116" s="375">
        <v>166606</v>
      </c>
      <c r="G116" s="375">
        <v>532161</v>
      </c>
      <c r="H116" s="375"/>
      <c r="I116" s="375">
        <v>321732</v>
      </c>
      <c r="J116" s="375">
        <v>321768</v>
      </c>
      <c r="K116" s="375">
        <v>70987</v>
      </c>
      <c r="L116" s="375">
        <v>714487</v>
      </c>
      <c r="M116" s="376"/>
      <c r="N116" s="376">
        <v>-84324</v>
      </c>
      <c r="O116" s="376">
        <v>44275</v>
      </c>
      <c r="P116" s="376">
        <v>-40049</v>
      </c>
    </row>
    <row r="117" spans="1:16">
      <c r="A117" s="369">
        <v>5013</v>
      </c>
      <c r="B117" s="370" t="s">
        <v>108</v>
      </c>
      <c r="C117" s="378">
        <v>1192910</v>
      </c>
      <c r="D117" s="378">
        <v>6505</v>
      </c>
      <c r="E117" s="378">
        <v>234177</v>
      </c>
      <c r="F117" s="378">
        <v>13256</v>
      </c>
      <c r="G117" s="378">
        <v>253938</v>
      </c>
      <c r="H117" s="378"/>
      <c r="I117" s="378">
        <v>211829</v>
      </c>
      <c r="J117" s="378">
        <v>211853</v>
      </c>
      <c r="K117" s="378">
        <v>8740</v>
      </c>
      <c r="L117" s="378">
        <v>432422</v>
      </c>
      <c r="M117" s="379"/>
      <c r="N117" s="379">
        <v>-55519</v>
      </c>
      <c r="O117" s="379">
        <v>138</v>
      </c>
      <c r="P117" s="379">
        <v>-55381</v>
      </c>
    </row>
    <row r="118" spans="1:16">
      <c r="A118" s="367">
        <v>3110</v>
      </c>
      <c r="B118" s="371" t="s">
        <v>109</v>
      </c>
      <c r="C118" s="375">
        <v>6198008</v>
      </c>
      <c r="D118" s="375">
        <v>33799</v>
      </c>
      <c r="E118" s="375">
        <v>1216713</v>
      </c>
      <c r="F118" s="401">
        <v>0</v>
      </c>
      <c r="G118" s="375">
        <v>1250512</v>
      </c>
      <c r="H118" s="375"/>
      <c r="I118" s="375">
        <v>1100600</v>
      </c>
      <c r="J118" s="375">
        <v>1100724</v>
      </c>
      <c r="K118" s="375">
        <v>657960</v>
      </c>
      <c r="L118" s="375">
        <v>2859284</v>
      </c>
      <c r="M118" s="376"/>
      <c r="N118" s="376">
        <v>-288461</v>
      </c>
      <c r="O118" s="376">
        <v>-173288</v>
      </c>
      <c r="P118" s="376">
        <v>-461749</v>
      </c>
    </row>
    <row r="119" spans="1:16">
      <c r="A119" s="369">
        <v>14044</v>
      </c>
      <c r="B119" s="370" t="s">
        <v>110</v>
      </c>
      <c r="C119" s="378">
        <v>20159377</v>
      </c>
      <c r="D119" s="378">
        <v>109933</v>
      </c>
      <c r="E119" s="378">
        <v>3957430</v>
      </c>
      <c r="F119" s="378">
        <v>820190</v>
      </c>
      <c r="G119" s="378">
        <v>4887553</v>
      </c>
      <c r="H119" s="378"/>
      <c r="I119" s="378">
        <v>3579766</v>
      </c>
      <c r="J119" s="378">
        <v>3580167</v>
      </c>
      <c r="K119" s="378">
        <v>454034</v>
      </c>
      <c r="L119" s="378">
        <v>7613967</v>
      </c>
      <c r="M119" s="379"/>
      <c r="N119" s="379">
        <v>-938237</v>
      </c>
      <c r="O119" s="379">
        <v>17692</v>
      </c>
      <c r="P119" s="379">
        <v>-920545</v>
      </c>
    </row>
    <row r="120" spans="1:16">
      <c r="A120" s="367">
        <v>4009</v>
      </c>
      <c r="B120" s="371" t="s">
        <v>111</v>
      </c>
      <c r="C120" s="375">
        <v>2741467</v>
      </c>
      <c r="D120" s="375">
        <v>14950</v>
      </c>
      <c r="E120" s="375">
        <v>538170</v>
      </c>
      <c r="F120" s="375">
        <v>44972</v>
      </c>
      <c r="G120" s="375">
        <v>598092</v>
      </c>
      <c r="H120" s="375"/>
      <c r="I120" s="375">
        <v>486811</v>
      </c>
      <c r="J120" s="375">
        <v>486866</v>
      </c>
      <c r="K120" s="375">
        <v>258726</v>
      </c>
      <c r="L120" s="375">
        <v>1232403</v>
      </c>
      <c r="M120" s="376"/>
      <c r="N120" s="376">
        <v>-127591</v>
      </c>
      <c r="O120" s="376">
        <v>-46358</v>
      </c>
      <c r="P120" s="376">
        <v>-173949</v>
      </c>
    </row>
    <row r="121" spans="1:16">
      <c r="A121" s="369">
        <v>7022</v>
      </c>
      <c r="B121" s="370" t="s">
        <v>112</v>
      </c>
      <c r="C121" s="378">
        <v>7101193</v>
      </c>
      <c r="D121" s="378">
        <v>38724</v>
      </c>
      <c r="E121" s="378">
        <v>1394015</v>
      </c>
      <c r="F121" s="378">
        <v>284501</v>
      </c>
      <c r="G121" s="378">
        <v>1717240</v>
      </c>
      <c r="H121" s="378"/>
      <c r="I121" s="378">
        <v>1260982</v>
      </c>
      <c r="J121" s="378">
        <v>1261123</v>
      </c>
      <c r="K121" s="378">
        <v>54760</v>
      </c>
      <c r="L121" s="378">
        <v>2576865</v>
      </c>
      <c r="M121" s="379"/>
      <c r="N121" s="379">
        <v>-330496</v>
      </c>
      <c r="O121" s="379">
        <v>41749</v>
      </c>
      <c r="P121" s="379">
        <v>-288747</v>
      </c>
    </row>
    <row r="122" spans="1:16">
      <c r="A122" s="367">
        <v>2430</v>
      </c>
      <c r="B122" s="371" t="s">
        <v>113</v>
      </c>
      <c r="C122" s="375">
        <v>1126987</v>
      </c>
      <c r="D122" s="375">
        <v>6146</v>
      </c>
      <c r="E122" s="375">
        <v>221236</v>
      </c>
      <c r="F122" s="375">
        <v>68282</v>
      </c>
      <c r="G122" s="375">
        <v>295664</v>
      </c>
      <c r="H122" s="375"/>
      <c r="I122" s="375">
        <v>200123</v>
      </c>
      <c r="J122" s="375">
        <v>200145</v>
      </c>
      <c r="K122" s="375">
        <v>211676</v>
      </c>
      <c r="L122" s="375">
        <v>611944</v>
      </c>
      <c r="M122" s="376"/>
      <c r="N122" s="376">
        <v>-52451</v>
      </c>
      <c r="O122" s="376">
        <v>-19667</v>
      </c>
      <c r="P122" s="376">
        <v>-72118</v>
      </c>
    </row>
    <row r="123" spans="1:16">
      <c r="A123" s="369">
        <v>9150</v>
      </c>
      <c r="B123" s="370" t="s">
        <v>114</v>
      </c>
      <c r="C123" s="378">
        <v>670566</v>
      </c>
      <c r="D123" s="378">
        <v>3657</v>
      </c>
      <c r="E123" s="378">
        <v>131637</v>
      </c>
      <c r="F123" s="402">
        <v>0</v>
      </c>
      <c r="G123" s="378">
        <v>135294</v>
      </c>
      <c r="H123" s="378"/>
      <c r="I123" s="378">
        <v>119074</v>
      </c>
      <c r="J123" s="378">
        <v>119088</v>
      </c>
      <c r="K123" s="378">
        <v>1825801</v>
      </c>
      <c r="L123" s="378">
        <v>2063963</v>
      </c>
      <c r="M123" s="379"/>
      <c r="N123" s="379">
        <v>-31209</v>
      </c>
      <c r="O123" s="379">
        <v>-568380</v>
      </c>
      <c r="P123" s="379">
        <v>-599589</v>
      </c>
    </row>
    <row r="124" spans="1:16">
      <c r="A124" s="367">
        <v>6017</v>
      </c>
      <c r="B124" s="371" t="s">
        <v>115</v>
      </c>
      <c r="C124" s="375">
        <v>49508065</v>
      </c>
      <c r="D124" s="375">
        <v>269977</v>
      </c>
      <c r="E124" s="375">
        <v>9718788</v>
      </c>
      <c r="F124" s="375">
        <v>3053188</v>
      </c>
      <c r="G124" s="375">
        <v>13041953</v>
      </c>
      <c r="H124" s="375"/>
      <c r="I124" s="375">
        <v>8791307</v>
      </c>
      <c r="J124" s="375">
        <v>8792294</v>
      </c>
      <c r="K124" s="375">
        <v>2414170</v>
      </c>
      <c r="L124" s="375">
        <v>19997771</v>
      </c>
      <c r="M124" s="376"/>
      <c r="N124" s="376">
        <v>-2304154</v>
      </c>
      <c r="O124" s="376">
        <v>-188559</v>
      </c>
      <c r="P124" s="376">
        <v>-2492713</v>
      </c>
    </row>
    <row r="125" spans="1:16">
      <c r="A125" s="369">
        <v>26080</v>
      </c>
      <c r="B125" s="370" t="s">
        <v>116</v>
      </c>
      <c r="C125" s="378">
        <v>1362546</v>
      </c>
      <c r="D125" s="378">
        <v>7430</v>
      </c>
      <c r="E125" s="378">
        <v>267477</v>
      </c>
      <c r="F125" s="378">
        <v>28203</v>
      </c>
      <c r="G125" s="378">
        <v>303110</v>
      </c>
      <c r="H125" s="378"/>
      <c r="I125" s="378">
        <v>241952</v>
      </c>
      <c r="J125" s="378">
        <v>241979</v>
      </c>
      <c r="K125" s="402">
        <v>0</v>
      </c>
      <c r="L125" s="378">
        <v>483931</v>
      </c>
      <c r="M125" s="379"/>
      <c r="N125" s="379">
        <v>-63414</v>
      </c>
      <c r="O125" s="379">
        <v>9210</v>
      </c>
      <c r="P125" s="379">
        <v>-54204</v>
      </c>
    </row>
    <row r="126" spans="1:16">
      <c r="A126" s="367">
        <v>2327</v>
      </c>
      <c r="B126" s="371" t="s">
        <v>117</v>
      </c>
      <c r="C126" s="375">
        <v>1996161</v>
      </c>
      <c r="D126" s="375">
        <v>10885</v>
      </c>
      <c r="E126" s="375">
        <v>391861</v>
      </c>
      <c r="F126" s="375">
        <v>144051</v>
      </c>
      <c r="G126" s="375">
        <v>546797</v>
      </c>
      <c r="H126" s="375"/>
      <c r="I126" s="375">
        <v>354465</v>
      </c>
      <c r="J126" s="375">
        <v>354505</v>
      </c>
      <c r="K126" s="401">
        <v>0</v>
      </c>
      <c r="L126" s="375">
        <v>708970</v>
      </c>
      <c r="M126" s="376"/>
      <c r="N126" s="376">
        <v>-92903</v>
      </c>
      <c r="O126" s="376">
        <v>35333</v>
      </c>
      <c r="P126" s="376">
        <v>-57570</v>
      </c>
    </row>
    <row r="127" spans="1:16">
      <c r="A127" s="369">
        <v>10119</v>
      </c>
      <c r="B127" s="370" t="s">
        <v>118</v>
      </c>
      <c r="C127" s="378">
        <v>983804</v>
      </c>
      <c r="D127" s="378">
        <v>5365</v>
      </c>
      <c r="E127" s="378">
        <v>193128</v>
      </c>
      <c r="F127" s="402">
        <v>0</v>
      </c>
      <c r="G127" s="378">
        <v>198493</v>
      </c>
      <c r="H127" s="378"/>
      <c r="I127" s="378">
        <v>174697</v>
      </c>
      <c r="J127" s="378">
        <v>174717</v>
      </c>
      <c r="K127" s="378">
        <v>178862</v>
      </c>
      <c r="L127" s="378">
        <v>528276</v>
      </c>
      <c r="M127" s="379"/>
      <c r="N127" s="379">
        <v>-45787</v>
      </c>
      <c r="O127" s="379">
        <v>-52203</v>
      </c>
      <c r="P127" s="379">
        <v>-97990</v>
      </c>
    </row>
    <row r="128" spans="1:16">
      <c r="A128" s="367">
        <v>573</v>
      </c>
      <c r="B128" s="371" t="s">
        <v>412</v>
      </c>
      <c r="C128" s="375">
        <v>1223982</v>
      </c>
      <c r="D128" s="375">
        <v>6675</v>
      </c>
      <c r="E128" s="375">
        <v>240276</v>
      </c>
      <c r="F128" s="375">
        <v>1146363</v>
      </c>
      <c r="G128" s="375">
        <v>1393314</v>
      </c>
      <c r="H128" s="375"/>
      <c r="I128" s="375">
        <v>217346</v>
      </c>
      <c r="J128" s="375">
        <v>217371</v>
      </c>
      <c r="K128" s="401">
        <v>0</v>
      </c>
      <c r="L128" s="375">
        <v>434717</v>
      </c>
      <c r="M128" s="376"/>
      <c r="N128" s="376">
        <v>-56965</v>
      </c>
      <c r="O128" s="376">
        <v>265305</v>
      </c>
      <c r="P128" s="376">
        <v>208340</v>
      </c>
    </row>
    <row r="129" spans="1:16">
      <c r="A129" s="369">
        <v>2368</v>
      </c>
      <c r="B129" s="370" t="s">
        <v>119</v>
      </c>
      <c r="C129" s="378">
        <v>1582568</v>
      </c>
      <c r="D129" s="378">
        <v>8630</v>
      </c>
      <c r="E129" s="378">
        <v>310670</v>
      </c>
      <c r="F129" s="378">
        <v>188518</v>
      </c>
      <c r="G129" s="378">
        <v>507818</v>
      </c>
      <c r="H129" s="378"/>
      <c r="I129" s="378">
        <v>281022</v>
      </c>
      <c r="J129" s="378">
        <v>281053</v>
      </c>
      <c r="K129" s="378">
        <v>177634</v>
      </c>
      <c r="L129" s="378">
        <v>739709</v>
      </c>
      <c r="M129" s="379"/>
      <c r="N129" s="379">
        <v>-73654</v>
      </c>
      <c r="O129" s="379">
        <v>14301</v>
      </c>
      <c r="P129" s="379">
        <v>-59353</v>
      </c>
    </row>
    <row r="130" spans="1:16">
      <c r="A130" s="367">
        <v>7420</v>
      </c>
      <c r="B130" s="371" t="s">
        <v>120</v>
      </c>
      <c r="C130" s="375">
        <v>921240</v>
      </c>
      <c r="D130" s="375">
        <v>5024</v>
      </c>
      <c r="E130" s="375">
        <v>180846</v>
      </c>
      <c r="F130" s="375">
        <v>154451</v>
      </c>
      <c r="G130" s="375">
        <v>340321</v>
      </c>
      <c r="H130" s="375"/>
      <c r="I130" s="375">
        <v>163588</v>
      </c>
      <c r="J130" s="375">
        <v>163606</v>
      </c>
      <c r="K130" s="375">
        <v>15822</v>
      </c>
      <c r="L130" s="375">
        <v>343016</v>
      </c>
      <c r="M130" s="376"/>
      <c r="N130" s="376">
        <v>-42875</v>
      </c>
      <c r="O130" s="376">
        <v>49898</v>
      </c>
      <c r="P130" s="376">
        <v>7023</v>
      </c>
    </row>
    <row r="131" spans="1:16">
      <c r="A131" s="369">
        <v>6018</v>
      </c>
      <c r="B131" s="370" t="s">
        <v>121</v>
      </c>
      <c r="C131" s="378">
        <v>2902705</v>
      </c>
      <c r="D131" s="378">
        <v>15829</v>
      </c>
      <c r="E131" s="378">
        <v>569822</v>
      </c>
      <c r="F131" s="378">
        <v>108043</v>
      </c>
      <c r="G131" s="378">
        <v>693694</v>
      </c>
      <c r="H131" s="378"/>
      <c r="I131" s="378">
        <v>515443</v>
      </c>
      <c r="J131" s="378">
        <v>515501</v>
      </c>
      <c r="K131" s="378">
        <v>10594</v>
      </c>
      <c r="L131" s="378">
        <v>1041538</v>
      </c>
      <c r="M131" s="379"/>
      <c r="N131" s="379">
        <v>-135095</v>
      </c>
      <c r="O131" s="379">
        <v>29818</v>
      </c>
      <c r="P131" s="379">
        <v>-105277</v>
      </c>
    </row>
    <row r="132" spans="1:16">
      <c r="A132" s="367">
        <v>3321</v>
      </c>
      <c r="B132" s="371" t="s">
        <v>122</v>
      </c>
      <c r="C132" s="375">
        <v>1221462</v>
      </c>
      <c r="D132" s="375">
        <v>6661</v>
      </c>
      <c r="E132" s="375">
        <v>239782</v>
      </c>
      <c r="F132" s="375">
        <v>130163</v>
      </c>
      <c r="G132" s="375">
        <v>376606</v>
      </c>
      <c r="H132" s="375"/>
      <c r="I132" s="375">
        <v>216899</v>
      </c>
      <c r="J132" s="375">
        <v>216923</v>
      </c>
      <c r="K132" s="375">
        <v>83329</v>
      </c>
      <c r="L132" s="375">
        <v>517151</v>
      </c>
      <c r="M132" s="376"/>
      <c r="N132" s="376">
        <v>-56848</v>
      </c>
      <c r="O132" s="376">
        <v>540</v>
      </c>
      <c r="P132" s="376">
        <v>-56308</v>
      </c>
    </row>
    <row r="133" spans="1:16">
      <c r="A133" s="369">
        <v>29122</v>
      </c>
      <c r="B133" s="370" t="s">
        <v>123</v>
      </c>
      <c r="C133" s="378">
        <v>1933597</v>
      </c>
      <c r="D133" s="378">
        <v>10544</v>
      </c>
      <c r="E133" s="378">
        <v>379579</v>
      </c>
      <c r="F133" s="378">
        <v>244603</v>
      </c>
      <c r="G133" s="378">
        <v>634726</v>
      </c>
      <c r="H133" s="378"/>
      <c r="I133" s="378">
        <v>343355</v>
      </c>
      <c r="J133" s="378">
        <v>343394</v>
      </c>
      <c r="K133" s="378">
        <v>286309</v>
      </c>
      <c r="L133" s="378">
        <v>973058</v>
      </c>
      <c r="M133" s="379"/>
      <c r="N133" s="379">
        <v>-89992</v>
      </c>
      <c r="O133" s="379">
        <v>-43380</v>
      </c>
      <c r="P133" s="379">
        <v>-133372</v>
      </c>
    </row>
    <row r="134" spans="1:16">
      <c r="A134" s="367">
        <v>29088</v>
      </c>
      <c r="B134" s="371" t="s">
        <v>124</v>
      </c>
      <c r="C134" s="375">
        <v>2272869</v>
      </c>
      <c r="D134" s="375">
        <v>12394</v>
      </c>
      <c r="E134" s="375">
        <v>446180</v>
      </c>
      <c r="F134" s="375">
        <v>24164</v>
      </c>
      <c r="G134" s="375">
        <v>482738</v>
      </c>
      <c r="H134" s="375"/>
      <c r="I134" s="375">
        <v>403601</v>
      </c>
      <c r="J134" s="375">
        <v>403646</v>
      </c>
      <c r="K134" s="375">
        <v>251018</v>
      </c>
      <c r="L134" s="375">
        <v>1058265</v>
      </c>
      <c r="M134" s="376"/>
      <c r="N134" s="376">
        <v>-105782</v>
      </c>
      <c r="O134" s="376">
        <v>-41751</v>
      </c>
      <c r="P134" s="376">
        <v>-147533</v>
      </c>
    </row>
    <row r="135" spans="1:16">
      <c r="A135" s="369">
        <v>7337</v>
      </c>
      <c r="B135" s="370" t="s">
        <v>125</v>
      </c>
      <c r="C135" s="378">
        <v>681903</v>
      </c>
      <c r="D135" s="378">
        <v>3719</v>
      </c>
      <c r="E135" s="378">
        <v>133862</v>
      </c>
      <c r="F135" s="402">
        <v>0</v>
      </c>
      <c r="G135" s="378">
        <v>137581</v>
      </c>
      <c r="H135" s="378"/>
      <c r="I135" s="378">
        <v>121088</v>
      </c>
      <c r="J135" s="378">
        <v>121101</v>
      </c>
      <c r="K135" s="378">
        <v>212318</v>
      </c>
      <c r="L135" s="378">
        <v>454507</v>
      </c>
      <c r="M135" s="379"/>
      <c r="N135" s="379">
        <v>-31736</v>
      </c>
      <c r="O135" s="379">
        <v>-51989</v>
      </c>
      <c r="P135" s="379">
        <v>-83725</v>
      </c>
    </row>
    <row r="136" spans="1:16">
      <c r="A136" s="367">
        <v>2329</v>
      </c>
      <c r="B136" s="371" t="s">
        <v>126</v>
      </c>
      <c r="C136" s="375">
        <v>1793354</v>
      </c>
      <c r="D136" s="375">
        <v>9780</v>
      </c>
      <c r="E136" s="375">
        <v>352048</v>
      </c>
      <c r="F136" s="375">
        <v>56876</v>
      </c>
      <c r="G136" s="375">
        <v>418704</v>
      </c>
      <c r="H136" s="375"/>
      <c r="I136" s="375">
        <v>318452</v>
      </c>
      <c r="J136" s="375">
        <v>318487</v>
      </c>
      <c r="K136" s="375">
        <v>654233</v>
      </c>
      <c r="L136" s="375">
        <v>1291172</v>
      </c>
      <c r="M136" s="376"/>
      <c r="N136" s="376">
        <v>-83464</v>
      </c>
      <c r="O136" s="376">
        <v>-110775</v>
      </c>
      <c r="P136" s="376">
        <v>-194239</v>
      </c>
    </row>
    <row r="137" spans="1:16">
      <c r="A137" s="369">
        <v>2343</v>
      </c>
      <c r="B137" s="370" t="s">
        <v>127</v>
      </c>
      <c r="C137" s="378">
        <v>1839542</v>
      </c>
      <c r="D137" s="378">
        <v>10031</v>
      </c>
      <c r="E137" s="378">
        <v>361115</v>
      </c>
      <c r="F137" s="378">
        <v>145851</v>
      </c>
      <c r="G137" s="378">
        <v>516997</v>
      </c>
      <c r="H137" s="378"/>
      <c r="I137" s="378">
        <v>326653</v>
      </c>
      <c r="J137" s="378">
        <v>326690</v>
      </c>
      <c r="K137" s="378">
        <v>290112</v>
      </c>
      <c r="L137" s="378">
        <v>943455</v>
      </c>
      <c r="M137" s="379"/>
      <c r="N137" s="379">
        <v>-85614</v>
      </c>
      <c r="O137" s="379">
        <v>-48111</v>
      </c>
      <c r="P137" s="379">
        <v>-133725</v>
      </c>
    </row>
    <row r="138" spans="1:16">
      <c r="A138" s="367">
        <v>17425</v>
      </c>
      <c r="B138" s="371" t="s">
        <v>128</v>
      </c>
      <c r="C138" s="375">
        <v>394277</v>
      </c>
      <c r="D138" s="375">
        <v>2150</v>
      </c>
      <c r="E138" s="375">
        <v>77399</v>
      </c>
      <c r="F138" s="401">
        <v>0</v>
      </c>
      <c r="G138" s="375">
        <v>79549</v>
      </c>
      <c r="H138" s="375"/>
      <c r="I138" s="375">
        <v>70013</v>
      </c>
      <c r="J138" s="375">
        <v>70021</v>
      </c>
      <c r="K138" s="375">
        <v>128455</v>
      </c>
      <c r="L138" s="375">
        <v>268489</v>
      </c>
      <c r="M138" s="376"/>
      <c r="N138" s="376">
        <v>-18350</v>
      </c>
      <c r="O138" s="376">
        <v>-33622</v>
      </c>
      <c r="P138" s="376">
        <v>-51972</v>
      </c>
    </row>
    <row r="139" spans="1:16">
      <c r="A139" s="369">
        <v>4010</v>
      </c>
      <c r="B139" s="370" t="s">
        <v>129</v>
      </c>
      <c r="C139" s="393">
        <v>1025793</v>
      </c>
      <c r="D139" s="393">
        <v>5594</v>
      </c>
      <c r="E139" s="393">
        <v>201371</v>
      </c>
      <c r="F139" s="393">
        <v>90869</v>
      </c>
      <c r="G139" s="393">
        <v>297834</v>
      </c>
      <c r="H139" s="393"/>
      <c r="I139" s="393">
        <v>182153</v>
      </c>
      <c r="J139" s="393">
        <v>182174</v>
      </c>
      <c r="K139" s="393">
        <v>15608</v>
      </c>
      <c r="L139" s="393">
        <v>379935</v>
      </c>
      <c r="M139" s="394"/>
      <c r="N139" s="394">
        <v>-47741</v>
      </c>
      <c r="O139" s="394">
        <v>15432</v>
      </c>
      <c r="P139" s="394">
        <v>-32309</v>
      </c>
    </row>
    <row r="140" spans="1:16">
      <c r="A140" s="367">
        <v>7023</v>
      </c>
      <c r="B140" s="371" t="s">
        <v>130</v>
      </c>
      <c r="C140" s="375">
        <v>130743498</v>
      </c>
      <c r="D140" s="375">
        <v>712969</v>
      </c>
      <c r="E140" s="375">
        <v>25665885</v>
      </c>
      <c r="F140" s="375">
        <v>2684928</v>
      </c>
      <c r="G140" s="375">
        <v>29063782</v>
      </c>
      <c r="H140" s="375"/>
      <c r="I140" s="375">
        <v>23216545</v>
      </c>
      <c r="J140" s="375">
        <v>23219151</v>
      </c>
      <c r="K140" s="401">
        <v>0</v>
      </c>
      <c r="L140" s="375">
        <v>46435696</v>
      </c>
      <c r="M140" s="376"/>
      <c r="N140" s="376">
        <v>-6084930</v>
      </c>
      <c r="O140" s="376">
        <v>745640</v>
      </c>
      <c r="P140" s="376">
        <v>-5339290</v>
      </c>
    </row>
    <row r="141" spans="1:16">
      <c r="A141" s="369">
        <v>7338</v>
      </c>
      <c r="B141" s="370" t="s">
        <v>131</v>
      </c>
      <c r="C141" s="378">
        <v>1169396</v>
      </c>
      <c r="D141" s="378">
        <v>6377</v>
      </c>
      <c r="E141" s="378">
        <v>229561</v>
      </c>
      <c r="F141" s="378">
        <v>210856</v>
      </c>
      <c r="G141" s="378">
        <v>446794</v>
      </c>
      <c r="H141" s="378"/>
      <c r="I141" s="378">
        <v>207653</v>
      </c>
      <c r="J141" s="378">
        <v>207677</v>
      </c>
      <c r="K141" s="402">
        <v>0</v>
      </c>
      <c r="L141" s="378">
        <v>415330</v>
      </c>
      <c r="M141" s="379"/>
      <c r="N141" s="379">
        <v>-54425</v>
      </c>
      <c r="O141" s="379">
        <v>66116</v>
      </c>
      <c r="P141" s="379">
        <v>11691</v>
      </c>
    </row>
    <row r="142" spans="1:16">
      <c r="A142" s="367">
        <v>12037</v>
      </c>
      <c r="B142" s="371" t="s">
        <v>132</v>
      </c>
      <c r="C142" s="375">
        <v>8553596</v>
      </c>
      <c r="D142" s="375">
        <v>46644</v>
      </c>
      <c r="E142" s="375">
        <v>1679132</v>
      </c>
      <c r="F142" s="375">
        <v>1116601</v>
      </c>
      <c r="G142" s="375">
        <v>2842377</v>
      </c>
      <c r="H142" s="375"/>
      <c r="I142" s="375">
        <v>1518890</v>
      </c>
      <c r="J142" s="375">
        <v>1519060</v>
      </c>
      <c r="K142" s="375">
        <v>781168</v>
      </c>
      <c r="L142" s="375">
        <v>3819118</v>
      </c>
      <c r="M142" s="376"/>
      <c r="N142" s="376">
        <v>-398093</v>
      </c>
      <c r="O142" s="376">
        <v>179711</v>
      </c>
      <c r="P142" s="376">
        <v>-218382</v>
      </c>
    </row>
    <row r="143" spans="1:16">
      <c r="A143" s="369">
        <v>3150</v>
      </c>
      <c r="B143" s="370" t="s">
        <v>133</v>
      </c>
      <c r="C143" s="378">
        <v>16007917</v>
      </c>
      <c r="D143" s="378">
        <v>87294</v>
      </c>
      <c r="E143" s="378">
        <v>3142469</v>
      </c>
      <c r="F143" s="378">
        <v>1813649</v>
      </c>
      <c r="G143" s="378">
        <v>5043412</v>
      </c>
      <c r="H143" s="378"/>
      <c r="I143" s="378">
        <v>2842577</v>
      </c>
      <c r="J143" s="378">
        <v>2842897</v>
      </c>
      <c r="K143" s="378">
        <v>1013051</v>
      </c>
      <c r="L143" s="378">
        <v>6698525</v>
      </c>
      <c r="M143" s="379"/>
      <c r="N143" s="379">
        <v>-745024</v>
      </c>
      <c r="O143" s="379">
        <v>304665</v>
      </c>
      <c r="P143" s="379">
        <v>-440359</v>
      </c>
    </row>
    <row r="144" spans="1:16">
      <c r="A144" s="367">
        <v>3160</v>
      </c>
      <c r="B144" s="371" t="s">
        <v>134</v>
      </c>
      <c r="C144" s="375">
        <v>4005758</v>
      </c>
      <c r="D144" s="375">
        <v>21844</v>
      </c>
      <c r="E144" s="375">
        <v>786359</v>
      </c>
      <c r="F144" s="375">
        <v>124657</v>
      </c>
      <c r="G144" s="375">
        <v>932860</v>
      </c>
      <c r="H144" s="375"/>
      <c r="I144" s="375">
        <v>711315</v>
      </c>
      <c r="J144" s="375">
        <v>711395</v>
      </c>
      <c r="K144" s="375">
        <v>377168</v>
      </c>
      <c r="L144" s="375">
        <v>1799878</v>
      </c>
      <c r="M144" s="376"/>
      <c r="N144" s="376">
        <v>-186432</v>
      </c>
      <c r="O144" s="376">
        <v>-41097</v>
      </c>
      <c r="P144" s="376">
        <v>-227529</v>
      </c>
    </row>
    <row r="145" spans="1:16">
      <c r="A145" s="369">
        <v>17334</v>
      </c>
      <c r="B145" s="370" t="s">
        <v>135</v>
      </c>
      <c r="C145" s="378">
        <v>87337</v>
      </c>
      <c r="D145" s="378">
        <v>476</v>
      </c>
      <c r="E145" s="378">
        <v>17145</v>
      </c>
      <c r="F145" s="378">
        <v>6084</v>
      </c>
      <c r="G145" s="378">
        <v>23705</v>
      </c>
      <c r="H145" s="378"/>
      <c r="I145" s="378">
        <v>15509</v>
      </c>
      <c r="J145" s="378">
        <v>15511</v>
      </c>
      <c r="K145" s="378">
        <v>77302</v>
      </c>
      <c r="L145" s="378">
        <v>108322</v>
      </c>
      <c r="M145" s="379"/>
      <c r="N145" s="379">
        <v>-4065</v>
      </c>
      <c r="O145" s="379">
        <v>-14669</v>
      </c>
      <c r="P145" s="379">
        <v>-18734</v>
      </c>
    </row>
    <row r="146" spans="1:16">
      <c r="A146" s="367">
        <v>10120</v>
      </c>
      <c r="B146" s="371" t="s">
        <v>136</v>
      </c>
      <c r="C146" s="375">
        <v>1961310</v>
      </c>
      <c r="D146" s="375">
        <v>10695</v>
      </c>
      <c r="E146" s="375">
        <v>385019</v>
      </c>
      <c r="F146" s="375">
        <v>38093</v>
      </c>
      <c r="G146" s="375">
        <v>433807</v>
      </c>
      <c r="H146" s="375"/>
      <c r="I146" s="375">
        <v>348276</v>
      </c>
      <c r="J146" s="375">
        <v>348315</v>
      </c>
      <c r="K146" s="375">
        <v>118304</v>
      </c>
      <c r="L146" s="375">
        <v>814895</v>
      </c>
      <c r="M146" s="376"/>
      <c r="N146" s="376">
        <v>-91281</v>
      </c>
      <c r="O146" s="376">
        <v>-14450</v>
      </c>
      <c r="P146" s="376">
        <v>-105731</v>
      </c>
    </row>
    <row r="147" spans="1:16">
      <c r="A147" s="369">
        <v>23070</v>
      </c>
      <c r="B147" s="370" t="s">
        <v>137</v>
      </c>
      <c r="C147" s="378">
        <v>3311259</v>
      </c>
      <c r="D147" s="378">
        <v>18057</v>
      </c>
      <c r="E147" s="378">
        <v>650024</v>
      </c>
      <c r="F147" s="378">
        <v>256275</v>
      </c>
      <c r="G147" s="378">
        <v>924356</v>
      </c>
      <c r="H147" s="378"/>
      <c r="I147" s="378">
        <v>587991</v>
      </c>
      <c r="J147" s="378">
        <v>588057</v>
      </c>
      <c r="K147" s="402">
        <v>0</v>
      </c>
      <c r="L147" s="378">
        <v>1176048</v>
      </c>
      <c r="M147" s="379"/>
      <c r="N147" s="379">
        <v>-154109</v>
      </c>
      <c r="O147" s="379">
        <v>65435</v>
      </c>
      <c r="P147" s="379">
        <v>-88674</v>
      </c>
    </row>
    <row r="148" spans="1:16">
      <c r="A148" s="367">
        <v>3170</v>
      </c>
      <c r="B148" s="371" t="s">
        <v>138</v>
      </c>
      <c r="C148" s="375">
        <v>38117687</v>
      </c>
      <c r="D148" s="375">
        <v>207863</v>
      </c>
      <c r="E148" s="375">
        <v>7482775</v>
      </c>
      <c r="F148" s="375">
        <v>839908</v>
      </c>
      <c r="G148" s="375">
        <v>8530546</v>
      </c>
      <c r="H148" s="375"/>
      <c r="I148" s="375">
        <v>6768681</v>
      </c>
      <c r="J148" s="375">
        <v>6769440</v>
      </c>
      <c r="K148" s="375">
        <v>4727221</v>
      </c>
      <c r="L148" s="375">
        <v>18265342</v>
      </c>
      <c r="M148" s="376"/>
      <c r="N148" s="376">
        <v>-1774034</v>
      </c>
      <c r="O148" s="376">
        <v>-808102</v>
      </c>
      <c r="P148" s="376">
        <v>-2582136</v>
      </c>
    </row>
    <row r="149" spans="1:16">
      <c r="A149" s="369">
        <v>32093</v>
      </c>
      <c r="B149" s="370" t="s">
        <v>139</v>
      </c>
      <c r="C149" s="378">
        <v>24996519</v>
      </c>
      <c r="D149" s="378">
        <v>136311</v>
      </c>
      <c r="E149" s="378">
        <v>4906996</v>
      </c>
      <c r="F149" s="378">
        <v>1252290</v>
      </c>
      <c r="G149" s="378">
        <v>6295597</v>
      </c>
      <c r="H149" s="378"/>
      <c r="I149" s="378">
        <v>4438713</v>
      </c>
      <c r="J149" s="378">
        <v>4439211</v>
      </c>
      <c r="K149" s="402">
        <v>0</v>
      </c>
      <c r="L149" s="378">
        <v>8877924</v>
      </c>
      <c r="M149" s="379"/>
      <c r="N149" s="379">
        <v>-1163362</v>
      </c>
      <c r="O149" s="379">
        <v>354230</v>
      </c>
      <c r="P149" s="379">
        <v>-809132</v>
      </c>
    </row>
    <row r="150" spans="1:16">
      <c r="A150" s="367">
        <v>14045</v>
      </c>
      <c r="B150" s="371" t="s">
        <v>140</v>
      </c>
      <c r="C150" s="375">
        <v>43949130</v>
      </c>
      <c r="D150" s="375">
        <v>239663</v>
      </c>
      <c r="E150" s="375">
        <v>8627529</v>
      </c>
      <c r="F150" s="375">
        <v>2847155</v>
      </c>
      <c r="G150" s="375">
        <v>11714347</v>
      </c>
      <c r="H150" s="375"/>
      <c r="I150" s="375">
        <v>7804189</v>
      </c>
      <c r="J150" s="375">
        <v>7805065</v>
      </c>
      <c r="K150" s="401">
        <v>0</v>
      </c>
      <c r="L150" s="375">
        <v>15609254</v>
      </c>
      <c r="M150" s="376"/>
      <c r="N150" s="376">
        <v>-2045436</v>
      </c>
      <c r="O150" s="376">
        <v>745505</v>
      </c>
      <c r="P150" s="376">
        <v>-1299931</v>
      </c>
    </row>
    <row r="151" spans="1:16">
      <c r="A151" s="369">
        <v>2322</v>
      </c>
      <c r="B151" s="370" t="s">
        <v>141</v>
      </c>
      <c r="C151" s="378">
        <v>1045528</v>
      </c>
      <c r="D151" s="378">
        <v>5701</v>
      </c>
      <c r="E151" s="378">
        <v>205245</v>
      </c>
      <c r="F151" s="378">
        <v>44497</v>
      </c>
      <c r="G151" s="378">
        <v>255443</v>
      </c>
      <c r="H151" s="378"/>
      <c r="I151" s="378">
        <v>185658</v>
      </c>
      <c r="J151" s="378">
        <v>185679</v>
      </c>
      <c r="K151" s="378">
        <v>180052</v>
      </c>
      <c r="L151" s="378">
        <v>551389</v>
      </c>
      <c r="M151" s="379"/>
      <c r="N151" s="379">
        <v>-48660</v>
      </c>
      <c r="O151" s="379">
        <v>-28785</v>
      </c>
      <c r="P151" s="379">
        <v>-77445</v>
      </c>
    </row>
    <row r="152" spans="1:16">
      <c r="A152" s="367">
        <v>3006</v>
      </c>
      <c r="B152" s="371" t="s">
        <v>142</v>
      </c>
      <c r="C152" s="375">
        <v>3355347</v>
      </c>
      <c r="D152" s="375">
        <v>18297</v>
      </c>
      <c r="E152" s="375">
        <v>658679</v>
      </c>
      <c r="F152" s="375">
        <v>401115</v>
      </c>
      <c r="G152" s="375">
        <v>1078091</v>
      </c>
      <c r="H152" s="375"/>
      <c r="I152" s="375">
        <v>595820</v>
      </c>
      <c r="J152" s="375">
        <v>595887</v>
      </c>
      <c r="K152" s="375">
        <v>360929</v>
      </c>
      <c r="L152" s="375">
        <v>1552636</v>
      </c>
      <c r="M152" s="376"/>
      <c r="N152" s="376">
        <v>-156161</v>
      </c>
      <c r="O152" s="376">
        <v>-38005</v>
      </c>
      <c r="P152" s="376">
        <v>-194166</v>
      </c>
    </row>
    <row r="153" spans="1:16">
      <c r="A153" s="369">
        <v>6019</v>
      </c>
      <c r="B153" s="370" t="s">
        <v>143</v>
      </c>
      <c r="C153" s="378">
        <v>18804390</v>
      </c>
      <c r="D153" s="378">
        <v>102544</v>
      </c>
      <c r="E153" s="378">
        <v>3691436</v>
      </c>
      <c r="F153" s="378">
        <v>948775</v>
      </c>
      <c r="G153" s="378">
        <v>4742755</v>
      </c>
      <c r="H153" s="378"/>
      <c r="I153" s="378">
        <v>3339156</v>
      </c>
      <c r="J153" s="378">
        <v>3339531</v>
      </c>
      <c r="K153" s="378">
        <v>175918</v>
      </c>
      <c r="L153" s="378">
        <v>6854605</v>
      </c>
      <c r="M153" s="379"/>
      <c r="N153" s="379">
        <v>-875175</v>
      </c>
      <c r="O153" s="379">
        <v>139678</v>
      </c>
      <c r="P153" s="379">
        <v>-735497</v>
      </c>
    </row>
    <row r="154" spans="1:16">
      <c r="A154" s="367">
        <v>12128</v>
      </c>
      <c r="B154" s="371" t="s">
        <v>144</v>
      </c>
      <c r="C154" s="375">
        <v>5267530</v>
      </c>
      <c r="D154" s="375">
        <v>28725</v>
      </c>
      <c r="E154" s="375">
        <v>1034054</v>
      </c>
      <c r="F154" s="375">
        <v>305474</v>
      </c>
      <c r="G154" s="375">
        <v>1368253</v>
      </c>
      <c r="H154" s="375"/>
      <c r="I154" s="375">
        <v>935372</v>
      </c>
      <c r="J154" s="375">
        <v>935477</v>
      </c>
      <c r="K154" s="375">
        <v>524151</v>
      </c>
      <c r="L154" s="375">
        <v>2395000</v>
      </c>
      <c r="M154" s="376"/>
      <c r="N154" s="376">
        <v>-245156</v>
      </c>
      <c r="O154" s="376">
        <v>-25876</v>
      </c>
      <c r="P154" s="376">
        <v>-271032</v>
      </c>
    </row>
    <row r="155" spans="1:16">
      <c r="A155" s="369">
        <v>3180</v>
      </c>
      <c r="B155" s="370" t="s">
        <v>145</v>
      </c>
      <c r="C155" s="378">
        <v>7733969</v>
      </c>
      <c r="D155" s="378">
        <v>42175</v>
      </c>
      <c r="E155" s="378">
        <v>1518233</v>
      </c>
      <c r="F155" s="402">
        <v>0</v>
      </c>
      <c r="G155" s="378">
        <v>1560408</v>
      </c>
      <c r="H155" s="378"/>
      <c r="I155" s="378">
        <v>1373346</v>
      </c>
      <c r="J155" s="378">
        <v>1373500</v>
      </c>
      <c r="K155" s="378">
        <v>460244</v>
      </c>
      <c r="L155" s="378">
        <v>3207090</v>
      </c>
      <c r="M155" s="379"/>
      <c r="N155" s="379">
        <v>-359946</v>
      </c>
      <c r="O155" s="379">
        <v>-124638</v>
      </c>
      <c r="P155" s="379">
        <v>-484584</v>
      </c>
    </row>
    <row r="156" spans="1:16">
      <c r="A156" s="367">
        <v>25075</v>
      </c>
      <c r="B156" s="371" t="s">
        <v>146</v>
      </c>
      <c r="C156" s="375">
        <v>2911943</v>
      </c>
      <c r="D156" s="375">
        <v>15879</v>
      </c>
      <c r="E156" s="375">
        <v>571635</v>
      </c>
      <c r="F156" s="375">
        <v>214715</v>
      </c>
      <c r="G156" s="375">
        <v>802229</v>
      </c>
      <c r="H156" s="375"/>
      <c r="I156" s="375">
        <v>517083</v>
      </c>
      <c r="J156" s="375">
        <v>517141</v>
      </c>
      <c r="K156" s="375">
        <v>346114</v>
      </c>
      <c r="L156" s="375">
        <v>1380338</v>
      </c>
      <c r="M156" s="376"/>
      <c r="N156" s="376">
        <v>-135525</v>
      </c>
      <c r="O156" s="376">
        <v>-49353</v>
      </c>
      <c r="P156" s="376">
        <v>-184878</v>
      </c>
    </row>
    <row r="157" spans="1:16">
      <c r="A157" s="369">
        <v>9028</v>
      </c>
      <c r="B157" s="370" t="s">
        <v>147</v>
      </c>
      <c r="C157" s="378">
        <v>1273109</v>
      </c>
      <c r="D157" s="378">
        <v>6943</v>
      </c>
      <c r="E157" s="378">
        <v>249920</v>
      </c>
      <c r="F157" s="378">
        <v>18816</v>
      </c>
      <c r="G157" s="378">
        <v>275679</v>
      </c>
      <c r="H157" s="378"/>
      <c r="I157" s="378">
        <v>226070</v>
      </c>
      <c r="J157" s="378">
        <v>226095</v>
      </c>
      <c r="K157" s="378">
        <v>15435</v>
      </c>
      <c r="L157" s="378">
        <v>467600</v>
      </c>
      <c r="M157" s="379"/>
      <c r="N157" s="379">
        <v>-59252</v>
      </c>
      <c r="O157" s="379">
        <v>-1666</v>
      </c>
      <c r="P157" s="379">
        <v>-60918</v>
      </c>
    </row>
    <row r="158" spans="1:16">
      <c r="A158" s="367">
        <v>17424</v>
      </c>
      <c r="B158" s="371" t="s">
        <v>148</v>
      </c>
      <c r="C158" s="375">
        <v>2120029</v>
      </c>
      <c r="D158" s="375">
        <v>11561</v>
      </c>
      <c r="E158" s="375">
        <v>416177</v>
      </c>
      <c r="F158" s="375">
        <v>198522</v>
      </c>
      <c r="G158" s="375">
        <v>626260</v>
      </c>
      <c r="H158" s="375"/>
      <c r="I158" s="375">
        <v>376460</v>
      </c>
      <c r="J158" s="375">
        <v>376503</v>
      </c>
      <c r="K158" s="375">
        <v>104756</v>
      </c>
      <c r="L158" s="375">
        <v>857719</v>
      </c>
      <c r="M158" s="376"/>
      <c r="N158" s="376">
        <v>-98668</v>
      </c>
      <c r="O158" s="376">
        <v>3412</v>
      </c>
      <c r="P158" s="376">
        <v>-95256</v>
      </c>
    </row>
    <row r="159" spans="1:16">
      <c r="A159" s="382">
        <v>3200</v>
      </c>
      <c r="B159" s="383" t="s">
        <v>149</v>
      </c>
      <c r="C159" s="384">
        <v>8761022</v>
      </c>
      <c r="D159" s="384">
        <v>47776</v>
      </c>
      <c r="E159" s="384">
        <v>1719851</v>
      </c>
      <c r="F159" s="404">
        <v>0</v>
      </c>
      <c r="G159" s="384">
        <v>1767627</v>
      </c>
      <c r="H159" s="384"/>
      <c r="I159" s="384">
        <v>1555723</v>
      </c>
      <c r="J159" s="384">
        <v>1555897</v>
      </c>
      <c r="K159" s="384">
        <v>1543283</v>
      </c>
      <c r="L159" s="384">
        <v>4654903</v>
      </c>
      <c r="M159" s="385"/>
      <c r="N159" s="385">
        <v>-407747</v>
      </c>
      <c r="O159" s="385">
        <v>-437115</v>
      </c>
      <c r="P159" s="385">
        <v>-844862</v>
      </c>
    </row>
    <row r="160" spans="1:16">
      <c r="A160" s="367">
        <v>2365</v>
      </c>
      <c r="B160" s="371" t="s">
        <v>150</v>
      </c>
      <c r="C160" s="375">
        <v>1520425</v>
      </c>
      <c r="D160" s="375">
        <v>8291</v>
      </c>
      <c r="E160" s="375">
        <v>298470</v>
      </c>
      <c r="F160" s="375">
        <v>151660</v>
      </c>
      <c r="G160" s="375">
        <v>458421</v>
      </c>
      <c r="H160" s="375"/>
      <c r="I160" s="375">
        <v>269987</v>
      </c>
      <c r="J160" s="375">
        <v>270017</v>
      </c>
      <c r="K160" s="375">
        <v>66282</v>
      </c>
      <c r="L160" s="375">
        <v>606286</v>
      </c>
      <c r="M160" s="376"/>
      <c r="N160" s="376">
        <v>-70762</v>
      </c>
      <c r="O160" s="376">
        <v>29683</v>
      </c>
      <c r="P160" s="376">
        <v>-41079</v>
      </c>
    </row>
    <row r="161" spans="1:16">
      <c r="A161" s="369">
        <v>5014</v>
      </c>
      <c r="B161" s="370" t="s">
        <v>151</v>
      </c>
      <c r="C161" s="378">
        <v>1691320</v>
      </c>
      <c r="D161" s="378">
        <v>9223</v>
      </c>
      <c r="E161" s="378">
        <v>332018</v>
      </c>
      <c r="F161" s="378">
        <v>65470</v>
      </c>
      <c r="G161" s="378">
        <v>406711</v>
      </c>
      <c r="H161" s="378"/>
      <c r="I161" s="378">
        <v>300333</v>
      </c>
      <c r="J161" s="378">
        <v>300367</v>
      </c>
      <c r="K161" s="378">
        <v>6004</v>
      </c>
      <c r="L161" s="378">
        <v>606704</v>
      </c>
      <c r="M161" s="379"/>
      <c r="N161" s="379">
        <v>-78716</v>
      </c>
      <c r="O161" s="379">
        <v>15999</v>
      </c>
      <c r="P161" s="379">
        <v>-62717</v>
      </c>
    </row>
    <row r="162" spans="1:16">
      <c r="A162" s="367">
        <v>17127</v>
      </c>
      <c r="B162" s="371" t="s">
        <v>152</v>
      </c>
      <c r="C162" s="375">
        <v>1946614</v>
      </c>
      <c r="D162" s="375">
        <v>10615</v>
      </c>
      <c r="E162" s="375">
        <v>382134</v>
      </c>
      <c r="F162" s="375">
        <v>575073</v>
      </c>
      <c r="G162" s="375">
        <v>967822</v>
      </c>
      <c r="H162" s="375"/>
      <c r="I162" s="375">
        <v>345666</v>
      </c>
      <c r="J162" s="375">
        <v>345705</v>
      </c>
      <c r="K162" s="375">
        <v>917485</v>
      </c>
      <c r="L162" s="375">
        <v>1608856</v>
      </c>
      <c r="M162" s="376"/>
      <c r="N162" s="376">
        <v>-90597</v>
      </c>
      <c r="O162" s="376">
        <v>-135167</v>
      </c>
      <c r="P162" s="376">
        <v>-225764</v>
      </c>
    </row>
    <row r="163" spans="1:16">
      <c r="A163" s="369">
        <v>10141</v>
      </c>
      <c r="B163" s="370" t="s">
        <v>153</v>
      </c>
      <c r="C163" s="378">
        <v>2739787</v>
      </c>
      <c r="D163" s="378">
        <v>14941</v>
      </c>
      <c r="E163" s="378">
        <v>537840</v>
      </c>
      <c r="F163" s="378">
        <v>8729</v>
      </c>
      <c r="G163" s="378">
        <v>561510</v>
      </c>
      <c r="H163" s="378"/>
      <c r="I163" s="378">
        <v>486513</v>
      </c>
      <c r="J163" s="378">
        <v>486568</v>
      </c>
      <c r="K163" s="378">
        <v>290075</v>
      </c>
      <c r="L163" s="378">
        <v>1263156</v>
      </c>
      <c r="M163" s="379"/>
      <c r="N163" s="379">
        <v>-127512</v>
      </c>
      <c r="O163" s="379">
        <v>-56187</v>
      </c>
      <c r="P163" s="379">
        <v>-183699</v>
      </c>
    </row>
    <row r="164" spans="1:16">
      <c r="A164" s="367">
        <v>4570</v>
      </c>
      <c r="B164" s="371" t="s">
        <v>413</v>
      </c>
      <c r="C164" s="375">
        <v>5872593</v>
      </c>
      <c r="D164" s="375">
        <v>32024</v>
      </c>
      <c r="E164" s="375">
        <v>1152832</v>
      </c>
      <c r="F164" s="375">
        <v>5146106</v>
      </c>
      <c r="G164" s="375">
        <v>6330962</v>
      </c>
      <c r="H164" s="375"/>
      <c r="I164" s="375">
        <v>1042815</v>
      </c>
      <c r="J164" s="375">
        <v>1042932</v>
      </c>
      <c r="K164" s="375">
        <v>250590</v>
      </c>
      <c r="L164" s="375">
        <v>2336337</v>
      </c>
      <c r="M164" s="376"/>
      <c r="N164" s="376">
        <v>-273316</v>
      </c>
      <c r="O164" s="376">
        <v>1363447</v>
      </c>
      <c r="P164" s="376">
        <v>1090131</v>
      </c>
    </row>
    <row r="165" spans="1:16">
      <c r="A165" s="369">
        <v>13369</v>
      </c>
      <c r="B165" s="370" t="s">
        <v>154</v>
      </c>
      <c r="C165" s="378">
        <v>631096</v>
      </c>
      <c r="D165" s="378">
        <v>3441</v>
      </c>
      <c r="E165" s="378">
        <v>123889</v>
      </c>
      <c r="F165" s="378">
        <v>96292</v>
      </c>
      <c r="G165" s="378">
        <v>223622</v>
      </c>
      <c r="H165" s="378"/>
      <c r="I165" s="378">
        <v>112066</v>
      </c>
      <c r="J165" s="378">
        <v>112078</v>
      </c>
      <c r="K165" s="378">
        <v>6357</v>
      </c>
      <c r="L165" s="378">
        <v>230501</v>
      </c>
      <c r="M165" s="379"/>
      <c r="N165" s="379">
        <v>-29372</v>
      </c>
      <c r="O165" s="379">
        <v>18958</v>
      </c>
      <c r="P165" s="379">
        <v>-10414</v>
      </c>
    </row>
    <row r="166" spans="1:16">
      <c r="A166" s="367">
        <v>2425</v>
      </c>
      <c r="B166" s="371" t="s">
        <v>155</v>
      </c>
      <c r="C166" s="375">
        <v>5968748</v>
      </c>
      <c r="D166" s="375">
        <v>32549</v>
      </c>
      <c r="E166" s="375">
        <v>1171708</v>
      </c>
      <c r="F166" s="375">
        <v>2387895</v>
      </c>
      <c r="G166" s="375">
        <v>3592152</v>
      </c>
      <c r="H166" s="375"/>
      <c r="I166" s="375">
        <v>1059890</v>
      </c>
      <c r="J166" s="375">
        <v>1060009</v>
      </c>
      <c r="K166" s="375">
        <v>50527</v>
      </c>
      <c r="L166" s="375">
        <v>2170426</v>
      </c>
      <c r="M166" s="376"/>
      <c r="N166" s="376">
        <v>-277791</v>
      </c>
      <c r="O166" s="376">
        <v>550699</v>
      </c>
      <c r="P166" s="376">
        <v>272908</v>
      </c>
    </row>
    <row r="167" spans="1:16">
      <c r="A167" s="369">
        <v>1306</v>
      </c>
      <c r="B167" s="370" t="s">
        <v>156</v>
      </c>
      <c r="C167" s="378">
        <v>1897067</v>
      </c>
      <c r="D167" s="378">
        <v>10345</v>
      </c>
      <c r="E167" s="378">
        <v>372408</v>
      </c>
      <c r="F167" s="378">
        <v>262371</v>
      </c>
      <c r="G167" s="378">
        <v>645124</v>
      </c>
      <c r="H167" s="378"/>
      <c r="I167" s="378">
        <v>336868</v>
      </c>
      <c r="J167" s="402">
        <v>336906</v>
      </c>
      <c r="K167" s="402">
        <v>0</v>
      </c>
      <c r="L167" s="378">
        <v>673774</v>
      </c>
      <c r="M167" s="379"/>
      <c r="N167" s="379">
        <v>-88291</v>
      </c>
      <c r="O167" s="379">
        <v>76026</v>
      </c>
      <c r="P167" s="379">
        <v>-12265</v>
      </c>
    </row>
    <row r="168" spans="1:16">
      <c r="A168" s="367">
        <v>2351</v>
      </c>
      <c r="B168" s="371" t="s">
        <v>157</v>
      </c>
      <c r="C168" s="375">
        <v>1601464</v>
      </c>
      <c r="D168" s="375">
        <v>8733</v>
      </c>
      <c r="E168" s="375">
        <v>314379</v>
      </c>
      <c r="F168" s="375">
        <v>120591</v>
      </c>
      <c r="G168" s="375">
        <v>443703</v>
      </c>
      <c r="H168" s="375"/>
      <c r="I168" s="375">
        <v>284377</v>
      </c>
      <c r="J168" s="375">
        <v>284409</v>
      </c>
      <c r="K168" s="375">
        <v>23281</v>
      </c>
      <c r="L168" s="375">
        <v>592067</v>
      </c>
      <c r="M168" s="376"/>
      <c r="N168" s="376">
        <v>-74534</v>
      </c>
      <c r="O168" s="376">
        <v>15852</v>
      </c>
      <c r="P168" s="376">
        <v>-58682</v>
      </c>
    </row>
    <row r="169" spans="1:16">
      <c r="A169" s="369">
        <v>2334</v>
      </c>
      <c r="B169" s="370" t="s">
        <v>158</v>
      </c>
      <c r="C169" s="378">
        <v>1176954</v>
      </c>
      <c r="D169" s="378">
        <v>6418</v>
      </c>
      <c r="E169" s="378">
        <v>231044</v>
      </c>
      <c r="F169" s="378">
        <v>102005</v>
      </c>
      <c r="G169" s="378">
        <v>339467</v>
      </c>
      <c r="H169" s="378"/>
      <c r="I169" s="378">
        <v>208996</v>
      </c>
      <c r="J169" s="378">
        <v>209019</v>
      </c>
      <c r="K169" s="402">
        <v>0</v>
      </c>
      <c r="L169" s="378">
        <v>418015</v>
      </c>
      <c r="M169" s="379"/>
      <c r="N169" s="379">
        <v>-54777</v>
      </c>
      <c r="O169" s="379">
        <v>26053</v>
      </c>
      <c r="P169" s="379">
        <v>-28724</v>
      </c>
    </row>
    <row r="170" spans="1:16">
      <c r="A170" s="367">
        <v>30089</v>
      </c>
      <c r="B170" s="371" t="s">
        <v>159</v>
      </c>
      <c r="C170" s="375">
        <v>3542199</v>
      </c>
      <c r="D170" s="375">
        <v>19316</v>
      </c>
      <c r="E170" s="375">
        <v>695359</v>
      </c>
      <c r="F170" s="375">
        <v>94645</v>
      </c>
      <c r="G170" s="375">
        <v>809320</v>
      </c>
      <c r="H170" s="375"/>
      <c r="I170" s="375">
        <v>629000</v>
      </c>
      <c r="J170" s="375">
        <v>629070</v>
      </c>
      <c r="K170" s="375">
        <v>255239</v>
      </c>
      <c r="L170" s="375">
        <v>1513309</v>
      </c>
      <c r="M170" s="376"/>
      <c r="N170" s="376">
        <v>-164857</v>
      </c>
      <c r="O170" s="376">
        <v>-28738</v>
      </c>
      <c r="P170" s="376">
        <v>-193595</v>
      </c>
    </row>
    <row r="171" spans="1:16">
      <c r="A171" s="369">
        <v>9324</v>
      </c>
      <c r="B171" s="370" t="s">
        <v>160</v>
      </c>
      <c r="C171" s="378">
        <v>480355</v>
      </c>
      <c r="D171" s="378">
        <v>2619</v>
      </c>
      <c r="E171" s="378">
        <v>94297</v>
      </c>
      <c r="F171" s="378">
        <v>111209</v>
      </c>
      <c r="G171" s="378">
        <v>208125</v>
      </c>
      <c r="H171" s="378"/>
      <c r="I171" s="378">
        <v>85298</v>
      </c>
      <c r="J171" s="378">
        <v>85308</v>
      </c>
      <c r="K171" s="378">
        <v>29363</v>
      </c>
      <c r="L171" s="378">
        <v>199969</v>
      </c>
      <c r="M171" s="379"/>
      <c r="N171" s="379">
        <v>-22356</v>
      </c>
      <c r="O171" s="379">
        <v>14224</v>
      </c>
      <c r="P171" s="379">
        <v>-8132</v>
      </c>
    </row>
    <row r="172" spans="1:16">
      <c r="A172" s="367">
        <v>22066</v>
      </c>
      <c r="B172" s="371" t="s">
        <v>161</v>
      </c>
      <c r="C172" s="375">
        <v>12813808</v>
      </c>
      <c r="D172" s="375">
        <v>69876</v>
      </c>
      <c r="E172" s="375">
        <v>2515442</v>
      </c>
      <c r="F172" s="375">
        <v>218518</v>
      </c>
      <c r="G172" s="375">
        <v>2803836</v>
      </c>
      <c r="H172" s="375"/>
      <c r="I172" s="375">
        <v>2275389</v>
      </c>
      <c r="J172" s="375">
        <v>2275645</v>
      </c>
      <c r="K172" s="375">
        <v>574924</v>
      </c>
      <c r="L172" s="375">
        <v>5125958</v>
      </c>
      <c r="M172" s="376"/>
      <c r="N172" s="376">
        <v>-596367</v>
      </c>
      <c r="O172" s="376">
        <v>-127784</v>
      </c>
      <c r="P172" s="376">
        <v>-724151</v>
      </c>
    </row>
    <row r="173" spans="1:16">
      <c r="A173" s="369">
        <v>16356</v>
      </c>
      <c r="B173" s="370" t="s">
        <v>162</v>
      </c>
      <c r="C173" s="378">
        <v>768400</v>
      </c>
      <c r="D173" s="378">
        <v>4190</v>
      </c>
      <c r="E173" s="378">
        <v>150842</v>
      </c>
      <c r="F173" s="378">
        <v>54782</v>
      </c>
      <c r="G173" s="378">
        <v>209814</v>
      </c>
      <c r="H173" s="378"/>
      <c r="I173" s="378">
        <v>136447</v>
      </c>
      <c r="J173" s="378">
        <v>136463</v>
      </c>
      <c r="K173" s="378">
        <v>44144</v>
      </c>
      <c r="L173" s="378">
        <v>317054</v>
      </c>
      <c r="M173" s="379"/>
      <c r="N173" s="379">
        <v>-35762</v>
      </c>
      <c r="O173" s="379">
        <v>2448</v>
      </c>
      <c r="P173" s="379">
        <v>-33314</v>
      </c>
    </row>
    <row r="174" spans="1:16">
      <c r="A174" s="367">
        <v>31091</v>
      </c>
      <c r="B174" s="371" t="s">
        <v>163</v>
      </c>
      <c r="C174" s="375">
        <v>620599</v>
      </c>
      <c r="D174" s="375">
        <v>3384</v>
      </c>
      <c r="E174" s="375">
        <v>121828</v>
      </c>
      <c r="F174" s="375">
        <v>46263</v>
      </c>
      <c r="G174" s="375">
        <v>171475</v>
      </c>
      <c r="H174" s="375"/>
      <c r="I174" s="375">
        <v>110202</v>
      </c>
      <c r="J174" s="375">
        <v>110214</v>
      </c>
      <c r="K174" s="375">
        <v>114914</v>
      </c>
      <c r="L174" s="375">
        <v>335330</v>
      </c>
      <c r="M174" s="376"/>
      <c r="N174" s="376">
        <v>-28883</v>
      </c>
      <c r="O174" s="376">
        <v>-19193</v>
      </c>
      <c r="P174" s="376">
        <v>-48076</v>
      </c>
    </row>
    <row r="175" spans="1:16">
      <c r="A175" s="369">
        <v>2342</v>
      </c>
      <c r="B175" s="370" t="s">
        <v>164</v>
      </c>
      <c r="C175" s="378">
        <v>1066523</v>
      </c>
      <c r="D175" s="378">
        <v>5816</v>
      </c>
      <c r="E175" s="378">
        <v>209366</v>
      </c>
      <c r="F175" s="378">
        <v>53360</v>
      </c>
      <c r="G175" s="378">
        <v>268542</v>
      </c>
      <c r="H175" s="378"/>
      <c r="I175" s="378">
        <v>189386</v>
      </c>
      <c r="J175" s="378">
        <v>189407</v>
      </c>
      <c r="K175" s="402">
        <v>0</v>
      </c>
      <c r="L175" s="378">
        <v>378793</v>
      </c>
      <c r="M175" s="379"/>
      <c r="N175" s="379">
        <v>-49637</v>
      </c>
      <c r="O175" s="379">
        <v>11627</v>
      </c>
      <c r="P175" s="379">
        <v>-38010</v>
      </c>
    </row>
    <row r="176" spans="1:16">
      <c r="A176" s="367">
        <v>22067</v>
      </c>
      <c r="B176" s="371" t="s">
        <v>165</v>
      </c>
      <c r="C176" s="375">
        <v>2086857</v>
      </c>
      <c r="D176" s="375">
        <v>11380</v>
      </c>
      <c r="E176" s="375">
        <v>409665</v>
      </c>
      <c r="F176" s="375">
        <v>509583</v>
      </c>
      <c r="G176" s="375">
        <v>930628</v>
      </c>
      <c r="H176" s="375"/>
      <c r="I176" s="375">
        <v>370570</v>
      </c>
      <c r="J176" s="375">
        <v>370612</v>
      </c>
      <c r="K176" s="375">
        <v>174809</v>
      </c>
      <c r="L176" s="375">
        <v>915991</v>
      </c>
      <c r="M176" s="376"/>
      <c r="N176" s="376">
        <v>-97124</v>
      </c>
      <c r="O176" s="376">
        <v>61053</v>
      </c>
      <c r="P176" s="376">
        <v>-36071</v>
      </c>
    </row>
    <row r="177" spans="1:16">
      <c r="A177" s="369">
        <v>32112</v>
      </c>
      <c r="B177" s="370" t="s">
        <v>166</v>
      </c>
      <c r="C177" s="378">
        <v>1040909</v>
      </c>
      <c r="D177" s="378">
        <v>5676</v>
      </c>
      <c r="E177" s="378">
        <v>204338</v>
      </c>
      <c r="F177" s="402">
        <v>0</v>
      </c>
      <c r="G177" s="378">
        <v>210014</v>
      </c>
      <c r="H177" s="378"/>
      <c r="I177" s="378">
        <v>184838</v>
      </c>
      <c r="J177" s="378">
        <v>184858</v>
      </c>
      <c r="K177" s="378">
        <v>103661</v>
      </c>
      <c r="L177" s="378">
        <v>473357</v>
      </c>
      <c r="M177" s="379"/>
      <c r="N177" s="379">
        <v>-48445</v>
      </c>
      <c r="O177" s="379">
        <v>-28517</v>
      </c>
      <c r="P177" s="379">
        <v>-76962</v>
      </c>
    </row>
    <row r="178" spans="1:16">
      <c r="A178" s="367">
        <v>2354</v>
      </c>
      <c r="B178" s="371" t="s">
        <v>167</v>
      </c>
      <c r="C178" s="375">
        <v>2865335</v>
      </c>
      <c r="D178" s="375">
        <v>15625</v>
      </c>
      <c r="E178" s="375">
        <v>562486</v>
      </c>
      <c r="F178" s="375">
        <v>124470</v>
      </c>
      <c r="G178" s="375">
        <v>702581</v>
      </c>
      <c r="H178" s="375"/>
      <c r="I178" s="375">
        <v>508807</v>
      </c>
      <c r="J178" s="375">
        <v>508864</v>
      </c>
      <c r="K178" s="375">
        <v>26513</v>
      </c>
      <c r="L178" s="375">
        <v>1044184</v>
      </c>
      <c r="M178" s="376"/>
      <c r="N178" s="376">
        <v>-133355</v>
      </c>
      <c r="O178" s="376">
        <v>36859</v>
      </c>
      <c r="P178" s="376">
        <v>-96496</v>
      </c>
    </row>
    <row r="179" spans="1:16">
      <c r="A179" s="369">
        <v>2148</v>
      </c>
      <c r="B179" s="370" t="s">
        <v>168</v>
      </c>
      <c r="C179" s="378">
        <v>1017815</v>
      </c>
      <c r="D179" s="378">
        <v>5550</v>
      </c>
      <c r="E179" s="378">
        <v>199804</v>
      </c>
      <c r="F179" s="378">
        <v>21543</v>
      </c>
      <c r="G179" s="378">
        <v>226897</v>
      </c>
      <c r="H179" s="378"/>
      <c r="I179" s="378">
        <v>180737</v>
      </c>
      <c r="J179" s="378">
        <v>180757</v>
      </c>
      <c r="K179" s="378">
        <v>75348</v>
      </c>
      <c r="L179" s="378">
        <v>436842</v>
      </c>
      <c r="M179" s="379"/>
      <c r="N179" s="379">
        <v>-47370</v>
      </c>
      <c r="O179" s="379">
        <v>-13008</v>
      </c>
      <c r="P179" s="379">
        <v>-60378</v>
      </c>
    </row>
    <row r="180" spans="1:16">
      <c r="A180" s="367">
        <v>1418</v>
      </c>
      <c r="B180" s="371" t="s">
        <v>169</v>
      </c>
      <c r="C180" s="375">
        <v>2834263</v>
      </c>
      <c r="D180" s="375">
        <v>15456</v>
      </c>
      <c r="E180" s="375">
        <v>556386</v>
      </c>
      <c r="F180" s="375">
        <v>900074</v>
      </c>
      <c r="G180" s="375">
        <v>1471916</v>
      </c>
      <c r="H180" s="375"/>
      <c r="I180" s="375">
        <v>503289</v>
      </c>
      <c r="J180" s="375">
        <v>503346</v>
      </c>
      <c r="K180" s="375">
        <v>780815</v>
      </c>
      <c r="L180" s="375">
        <v>1787450</v>
      </c>
      <c r="M180" s="376"/>
      <c r="N180" s="376">
        <v>-131909</v>
      </c>
      <c r="O180" s="376">
        <v>20295</v>
      </c>
      <c r="P180" s="376">
        <v>-111614</v>
      </c>
    </row>
    <row r="181" spans="1:16">
      <c r="A181" s="369">
        <v>12102</v>
      </c>
      <c r="B181" s="370" t="s">
        <v>170</v>
      </c>
      <c r="C181" s="378">
        <v>20654429</v>
      </c>
      <c r="D181" s="378">
        <v>112633</v>
      </c>
      <c r="E181" s="378">
        <v>4054612</v>
      </c>
      <c r="F181" s="402">
        <v>0</v>
      </c>
      <c r="G181" s="378">
        <v>4167245</v>
      </c>
      <c r="H181" s="378"/>
      <c r="I181" s="378">
        <v>3667673</v>
      </c>
      <c r="J181" s="378">
        <v>3668085</v>
      </c>
      <c r="K181" s="378">
        <v>2782257</v>
      </c>
      <c r="L181" s="378">
        <v>10118015</v>
      </c>
      <c r="M181" s="379"/>
      <c r="N181" s="379">
        <v>-961277</v>
      </c>
      <c r="O181" s="379">
        <v>-725431</v>
      </c>
      <c r="P181" s="379">
        <v>-1686708</v>
      </c>
    </row>
    <row r="182" spans="1:16">
      <c r="A182" s="367">
        <v>2414</v>
      </c>
      <c r="B182" s="371" t="s">
        <v>171</v>
      </c>
      <c r="C182" s="375">
        <v>1480955</v>
      </c>
      <c r="D182" s="375">
        <v>8076</v>
      </c>
      <c r="E182" s="375">
        <v>290722</v>
      </c>
      <c r="F182" s="375">
        <v>702329</v>
      </c>
      <c r="G182" s="375">
        <v>1001127</v>
      </c>
      <c r="H182" s="375"/>
      <c r="I182" s="375">
        <v>262978</v>
      </c>
      <c r="J182" s="375">
        <v>263007</v>
      </c>
      <c r="K182" s="375">
        <v>47352</v>
      </c>
      <c r="L182" s="375">
        <v>573337</v>
      </c>
      <c r="M182" s="376"/>
      <c r="N182" s="376">
        <v>-68925</v>
      </c>
      <c r="O182" s="376">
        <v>137953</v>
      </c>
      <c r="P182" s="376">
        <v>69028</v>
      </c>
    </row>
    <row r="183" spans="1:16">
      <c r="A183" s="369">
        <v>6124</v>
      </c>
      <c r="B183" s="370" t="s">
        <v>172</v>
      </c>
      <c r="C183" s="378">
        <v>11156918</v>
      </c>
      <c r="D183" s="378">
        <v>60841</v>
      </c>
      <c r="E183" s="378">
        <v>2190183</v>
      </c>
      <c r="F183" s="402">
        <v>0</v>
      </c>
      <c r="G183" s="378">
        <v>2251024</v>
      </c>
      <c r="H183" s="378"/>
      <c r="I183" s="378">
        <v>1981170</v>
      </c>
      <c r="J183" s="378">
        <v>1981392</v>
      </c>
      <c r="K183" s="378">
        <v>1765353</v>
      </c>
      <c r="L183" s="378">
        <v>5727915</v>
      </c>
      <c r="M183" s="379"/>
      <c r="N183" s="379">
        <v>-519254</v>
      </c>
      <c r="O183" s="379">
        <v>-459349</v>
      </c>
      <c r="P183" s="379">
        <v>-978603</v>
      </c>
    </row>
    <row r="184" spans="1:16">
      <c r="A184" s="367">
        <v>4097</v>
      </c>
      <c r="B184" s="371" t="s">
        <v>173</v>
      </c>
      <c r="C184" s="375">
        <v>12495110</v>
      </c>
      <c r="D184" s="375">
        <v>68138</v>
      </c>
      <c r="E184" s="375">
        <v>2452880</v>
      </c>
      <c r="F184" s="375">
        <v>98672</v>
      </c>
      <c r="G184" s="375">
        <v>2619690</v>
      </c>
      <c r="H184" s="375"/>
      <c r="I184" s="375">
        <v>2218797</v>
      </c>
      <c r="J184" s="375">
        <v>2219046</v>
      </c>
      <c r="K184" s="375">
        <v>826250</v>
      </c>
      <c r="L184" s="375">
        <v>5264093</v>
      </c>
      <c r="M184" s="376"/>
      <c r="N184" s="376">
        <v>-581535</v>
      </c>
      <c r="O184" s="376">
        <v>-130210</v>
      </c>
      <c r="P184" s="376">
        <v>-711745</v>
      </c>
    </row>
    <row r="185" spans="1:16">
      <c r="A185" s="369">
        <v>1416</v>
      </c>
      <c r="B185" s="370" t="s">
        <v>174</v>
      </c>
      <c r="C185" s="378">
        <v>1387319</v>
      </c>
      <c r="D185" s="378">
        <v>7565</v>
      </c>
      <c r="E185" s="378">
        <v>272341</v>
      </c>
      <c r="F185" s="378">
        <v>164141</v>
      </c>
      <c r="G185" s="378">
        <v>444047</v>
      </c>
      <c r="H185" s="378"/>
      <c r="I185" s="378">
        <v>246351</v>
      </c>
      <c r="J185" s="378">
        <v>246378</v>
      </c>
      <c r="K185" s="402">
        <v>0</v>
      </c>
      <c r="L185" s="378">
        <v>492729</v>
      </c>
      <c r="M185" s="379"/>
      <c r="N185" s="379">
        <v>-64567</v>
      </c>
      <c r="O185" s="379">
        <v>47942</v>
      </c>
      <c r="P185" s="379">
        <v>-16625</v>
      </c>
    </row>
    <row r="186" spans="1:16">
      <c r="A186" s="367">
        <v>1094</v>
      </c>
      <c r="B186" s="371" t="s">
        <v>175</v>
      </c>
      <c r="C186" s="375">
        <v>9801091</v>
      </c>
      <c r="D186" s="375">
        <v>53447</v>
      </c>
      <c r="E186" s="375">
        <v>1924024</v>
      </c>
      <c r="F186" s="375">
        <v>260479</v>
      </c>
      <c r="G186" s="375">
        <v>2237950</v>
      </c>
      <c r="H186" s="375"/>
      <c r="I186" s="375">
        <v>1740411</v>
      </c>
      <c r="J186" s="375">
        <v>1740607</v>
      </c>
      <c r="K186" s="401">
        <v>0</v>
      </c>
      <c r="L186" s="375">
        <v>3481018</v>
      </c>
      <c r="M186" s="376"/>
      <c r="N186" s="376">
        <v>-456152</v>
      </c>
      <c r="O186" s="376">
        <v>65679</v>
      </c>
      <c r="P186" s="376">
        <v>-390473</v>
      </c>
    </row>
    <row r="187" spans="1:16">
      <c r="A187" s="369">
        <v>32111</v>
      </c>
      <c r="B187" s="370" t="s">
        <v>176</v>
      </c>
      <c r="C187" s="378">
        <v>8815187</v>
      </c>
      <c r="D187" s="378">
        <v>48071</v>
      </c>
      <c r="E187" s="378">
        <v>1730484</v>
      </c>
      <c r="F187" s="378">
        <v>78491</v>
      </c>
      <c r="G187" s="378">
        <v>1857046</v>
      </c>
      <c r="H187" s="378"/>
      <c r="I187" s="378">
        <v>1565341</v>
      </c>
      <c r="J187" s="378">
        <v>1565517</v>
      </c>
      <c r="K187" s="378">
        <v>113749</v>
      </c>
      <c r="L187" s="378">
        <v>3244607</v>
      </c>
      <c r="M187" s="379"/>
      <c r="N187" s="379">
        <v>-410267</v>
      </c>
      <c r="O187" s="379">
        <v>5162</v>
      </c>
      <c r="P187" s="379">
        <v>-405105</v>
      </c>
    </row>
    <row r="188" spans="1:16">
      <c r="A188" s="367">
        <v>2520</v>
      </c>
      <c r="B188" s="371" t="s">
        <v>177</v>
      </c>
      <c r="C188" s="375">
        <v>1018235</v>
      </c>
      <c r="D188" s="375">
        <v>5553</v>
      </c>
      <c r="E188" s="375">
        <v>199887</v>
      </c>
      <c r="F188" s="401">
        <v>0</v>
      </c>
      <c r="G188" s="375">
        <v>205440</v>
      </c>
      <c r="H188" s="375"/>
      <c r="I188" s="375">
        <v>180811</v>
      </c>
      <c r="J188" s="375">
        <v>180832</v>
      </c>
      <c r="K188" s="375">
        <v>372458</v>
      </c>
      <c r="L188" s="375">
        <v>734101</v>
      </c>
      <c r="M188" s="376"/>
      <c r="N188" s="376">
        <v>-47390</v>
      </c>
      <c r="O188" s="376">
        <v>-98098</v>
      </c>
      <c r="P188" s="376">
        <v>-145488</v>
      </c>
    </row>
    <row r="189" spans="1:16">
      <c r="A189" s="369">
        <v>3450</v>
      </c>
      <c r="B189" s="370" t="s">
        <v>178</v>
      </c>
      <c r="C189" s="378">
        <v>2377842</v>
      </c>
      <c r="D189" s="378">
        <v>12967</v>
      </c>
      <c r="E189" s="378">
        <v>466787</v>
      </c>
      <c r="F189" s="378">
        <v>89943</v>
      </c>
      <c r="G189" s="378">
        <v>569697</v>
      </c>
      <c r="H189" s="378"/>
      <c r="I189" s="378">
        <v>422241</v>
      </c>
      <c r="J189" s="378">
        <v>422288</v>
      </c>
      <c r="K189" s="378">
        <v>77043</v>
      </c>
      <c r="L189" s="378">
        <v>921572</v>
      </c>
      <c r="M189" s="379"/>
      <c r="N189" s="379">
        <v>-110667</v>
      </c>
      <c r="O189" s="379">
        <v>16422</v>
      </c>
      <c r="P189" s="379">
        <v>-94245</v>
      </c>
    </row>
    <row r="190" spans="1:16">
      <c r="A190" s="367">
        <v>4310</v>
      </c>
      <c r="B190" s="371" t="s">
        <v>179</v>
      </c>
      <c r="C190" s="375">
        <v>1462900</v>
      </c>
      <c r="D190" s="375">
        <v>7977</v>
      </c>
      <c r="E190" s="375">
        <v>287178</v>
      </c>
      <c r="F190" s="375">
        <v>177460</v>
      </c>
      <c r="G190" s="375">
        <v>472615</v>
      </c>
      <c r="H190" s="375"/>
      <c r="I190" s="375">
        <v>259772</v>
      </c>
      <c r="J190" s="375">
        <v>259801</v>
      </c>
      <c r="K190" s="401">
        <v>0</v>
      </c>
      <c r="L190" s="375">
        <v>519573</v>
      </c>
      <c r="M190" s="376"/>
      <c r="N190" s="376">
        <v>-68085</v>
      </c>
      <c r="O190" s="376">
        <v>55593</v>
      </c>
      <c r="P190" s="376">
        <v>-12492</v>
      </c>
    </row>
    <row r="191" spans="1:16">
      <c r="A191" s="369">
        <v>2328</v>
      </c>
      <c r="B191" s="370" t="s">
        <v>180</v>
      </c>
      <c r="C191" s="378">
        <v>2111631</v>
      </c>
      <c r="D191" s="378">
        <v>11515</v>
      </c>
      <c r="E191" s="378">
        <v>414528</v>
      </c>
      <c r="F191" s="378">
        <v>234845</v>
      </c>
      <c r="G191" s="378">
        <v>660888</v>
      </c>
      <c r="H191" s="378"/>
      <c r="I191" s="378">
        <v>374969</v>
      </c>
      <c r="J191" s="378">
        <v>375011</v>
      </c>
      <c r="K191" s="378">
        <v>367803</v>
      </c>
      <c r="L191" s="378">
        <v>1117783</v>
      </c>
      <c r="M191" s="379"/>
      <c r="N191" s="379">
        <v>-98277</v>
      </c>
      <c r="O191" s="379">
        <v>-67421</v>
      </c>
      <c r="P191" s="379">
        <v>-165698</v>
      </c>
    </row>
    <row r="192" spans="1:16">
      <c r="A192" s="367">
        <v>12151</v>
      </c>
      <c r="B192" s="371" t="s">
        <v>181</v>
      </c>
      <c r="C192" s="375">
        <v>694499</v>
      </c>
      <c r="D192" s="375">
        <v>3787</v>
      </c>
      <c r="E192" s="375">
        <v>136335</v>
      </c>
      <c r="F192" s="401">
        <v>0</v>
      </c>
      <c r="G192" s="375">
        <v>140122</v>
      </c>
      <c r="H192" s="375"/>
      <c r="I192" s="375">
        <v>123324</v>
      </c>
      <c r="J192" s="375">
        <v>123338</v>
      </c>
      <c r="K192" s="375">
        <v>390967</v>
      </c>
      <c r="L192" s="375">
        <v>637629</v>
      </c>
      <c r="M192" s="376"/>
      <c r="N192" s="376">
        <v>-32323</v>
      </c>
      <c r="O192" s="376">
        <v>-99504</v>
      </c>
      <c r="P192" s="376">
        <v>-131827</v>
      </c>
    </row>
    <row r="193" spans="1:16">
      <c r="A193" s="369">
        <v>32110</v>
      </c>
      <c r="B193" s="370" t="s">
        <v>182</v>
      </c>
      <c r="C193" s="378">
        <v>7972467</v>
      </c>
      <c r="D193" s="378">
        <v>43475</v>
      </c>
      <c r="E193" s="378">
        <v>1565052</v>
      </c>
      <c r="F193" s="378">
        <v>714685</v>
      </c>
      <c r="G193" s="378">
        <v>2323212</v>
      </c>
      <c r="H193" s="378"/>
      <c r="I193" s="378">
        <v>1415697</v>
      </c>
      <c r="J193" s="378">
        <v>1415856</v>
      </c>
      <c r="K193" s="378">
        <v>96411</v>
      </c>
      <c r="L193" s="378">
        <v>2927964</v>
      </c>
      <c r="M193" s="379"/>
      <c r="N193" s="379">
        <v>-371046</v>
      </c>
      <c r="O193" s="379">
        <v>156572</v>
      </c>
      <c r="P193" s="379">
        <v>-214474</v>
      </c>
    </row>
    <row r="194" spans="1:16">
      <c r="A194" s="367">
        <v>4215</v>
      </c>
      <c r="B194" s="371" t="s">
        <v>183</v>
      </c>
      <c r="C194" s="375">
        <v>302321</v>
      </c>
      <c r="D194" s="375">
        <v>1649</v>
      </c>
      <c r="E194" s="375">
        <v>59348</v>
      </c>
      <c r="F194" s="375">
        <v>30951</v>
      </c>
      <c r="G194" s="375">
        <v>91948</v>
      </c>
      <c r="H194" s="375"/>
      <c r="I194" s="375">
        <v>53684</v>
      </c>
      <c r="J194" s="375">
        <v>53690</v>
      </c>
      <c r="K194" s="375">
        <v>204948</v>
      </c>
      <c r="L194" s="375">
        <v>312322</v>
      </c>
      <c r="M194" s="376"/>
      <c r="N194" s="376">
        <v>-14070</v>
      </c>
      <c r="O194" s="376">
        <v>-38129</v>
      </c>
      <c r="P194" s="376">
        <v>-52199</v>
      </c>
    </row>
    <row r="195" spans="1:16">
      <c r="A195" s="369">
        <v>2870</v>
      </c>
      <c r="B195" s="370" t="s">
        <v>184</v>
      </c>
      <c r="C195" s="378">
        <v>1340711</v>
      </c>
      <c r="D195" s="378">
        <v>7311</v>
      </c>
      <c r="E195" s="378">
        <v>263191</v>
      </c>
      <c r="F195" s="378">
        <v>79812</v>
      </c>
      <c r="G195" s="378">
        <v>350314</v>
      </c>
      <c r="H195" s="378"/>
      <c r="I195" s="378">
        <v>238074</v>
      </c>
      <c r="J195" s="378">
        <v>238101</v>
      </c>
      <c r="K195" s="378">
        <v>84670</v>
      </c>
      <c r="L195" s="378">
        <v>560845</v>
      </c>
      <c r="M195" s="379"/>
      <c r="N195" s="379">
        <v>-62398</v>
      </c>
      <c r="O195" s="379">
        <v>11586</v>
      </c>
      <c r="P195" s="379">
        <v>-50812</v>
      </c>
    </row>
    <row r="196" spans="1:16">
      <c r="A196" s="367">
        <v>29150</v>
      </c>
      <c r="B196" s="371" t="s">
        <v>185</v>
      </c>
      <c r="C196" s="375">
        <v>469018</v>
      </c>
      <c r="D196" s="375">
        <v>2558</v>
      </c>
      <c r="E196" s="375">
        <v>92072</v>
      </c>
      <c r="F196" s="375">
        <v>118513</v>
      </c>
      <c r="G196" s="375">
        <v>213143</v>
      </c>
      <c r="H196" s="375"/>
      <c r="I196" s="375">
        <v>83285</v>
      </c>
      <c r="J196" s="375">
        <v>83294</v>
      </c>
      <c r="K196" s="375">
        <v>57708</v>
      </c>
      <c r="L196" s="375">
        <v>224287</v>
      </c>
      <c r="M196" s="376"/>
      <c r="N196" s="376">
        <v>-21829</v>
      </c>
      <c r="O196" s="376">
        <v>31226</v>
      </c>
      <c r="P196" s="376">
        <v>9397</v>
      </c>
    </row>
    <row r="197" spans="1:16">
      <c r="A197" s="369">
        <v>2311</v>
      </c>
      <c r="B197" s="370" t="s">
        <v>186</v>
      </c>
      <c r="C197" s="378">
        <v>1262612</v>
      </c>
      <c r="D197" s="378">
        <v>6885</v>
      </c>
      <c r="E197" s="378">
        <v>247860</v>
      </c>
      <c r="F197" s="378">
        <v>301097</v>
      </c>
      <c r="G197" s="378">
        <v>555842</v>
      </c>
      <c r="H197" s="378"/>
      <c r="I197" s="378">
        <v>224206</v>
      </c>
      <c r="J197" s="378">
        <v>224231</v>
      </c>
      <c r="K197" s="378">
        <v>32136</v>
      </c>
      <c r="L197" s="378">
        <v>480573</v>
      </c>
      <c r="M197" s="379"/>
      <c r="N197" s="379">
        <v>-58763</v>
      </c>
      <c r="O197" s="379">
        <v>64697</v>
      </c>
      <c r="P197" s="379">
        <v>5934</v>
      </c>
    </row>
    <row r="198" spans="1:16">
      <c r="A198" s="367">
        <v>32118</v>
      </c>
      <c r="B198" s="371" t="s">
        <v>187</v>
      </c>
      <c r="C198" s="375">
        <v>2092736</v>
      </c>
      <c r="D198" s="375">
        <v>11412</v>
      </c>
      <c r="E198" s="375">
        <v>410819</v>
      </c>
      <c r="F198" s="375">
        <v>1267233</v>
      </c>
      <c r="G198" s="375">
        <v>1689464</v>
      </c>
      <c r="H198" s="375"/>
      <c r="I198" s="375">
        <v>371614</v>
      </c>
      <c r="J198" s="375">
        <v>371656</v>
      </c>
      <c r="K198" s="401">
        <v>0</v>
      </c>
      <c r="L198" s="375">
        <v>743270</v>
      </c>
      <c r="M198" s="376"/>
      <c r="N198" s="376">
        <v>-97398</v>
      </c>
      <c r="O198" s="376">
        <v>328363</v>
      </c>
      <c r="P198" s="376">
        <v>230965</v>
      </c>
    </row>
    <row r="199" spans="1:16">
      <c r="A199" s="369">
        <v>12039</v>
      </c>
      <c r="B199" s="370" t="s">
        <v>188</v>
      </c>
      <c r="C199" s="378">
        <v>3867194</v>
      </c>
      <c r="D199" s="378">
        <v>21089</v>
      </c>
      <c r="E199" s="378">
        <v>759158</v>
      </c>
      <c r="F199" s="378">
        <v>22602</v>
      </c>
      <c r="G199" s="378">
        <v>802849</v>
      </c>
      <c r="H199" s="378"/>
      <c r="I199" s="378">
        <v>686710</v>
      </c>
      <c r="J199" s="378">
        <v>686787</v>
      </c>
      <c r="K199" s="378">
        <v>313885</v>
      </c>
      <c r="L199" s="378">
        <v>1687382</v>
      </c>
      <c r="M199" s="379"/>
      <c r="N199" s="379">
        <v>-179983</v>
      </c>
      <c r="O199" s="379">
        <v>-60175</v>
      </c>
      <c r="P199" s="379">
        <v>-240158</v>
      </c>
    </row>
    <row r="200" spans="1:16">
      <c r="A200" s="367">
        <v>12150</v>
      </c>
      <c r="B200" s="371" t="s">
        <v>189</v>
      </c>
      <c r="C200" s="375">
        <v>793174</v>
      </c>
      <c r="D200" s="375">
        <v>4325</v>
      </c>
      <c r="E200" s="375">
        <v>155706</v>
      </c>
      <c r="F200" s="375">
        <v>202370</v>
      </c>
      <c r="G200" s="375">
        <v>362401</v>
      </c>
      <c r="H200" s="375"/>
      <c r="I200" s="375">
        <v>140846</v>
      </c>
      <c r="J200" s="375">
        <v>140862</v>
      </c>
      <c r="K200" s="401">
        <v>0</v>
      </c>
      <c r="L200" s="375">
        <v>281708</v>
      </c>
      <c r="M200" s="376"/>
      <c r="N200" s="376">
        <v>-36915</v>
      </c>
      <c r="O200" s="376">
        <v>60831</v>
      </c>
      <c r="P200" s="376">
        <v>23916</v>
      </c>
    </row>
    <row r="201" spans="1:16">
      <c r="A201" s="369">
        <v>20060</v>
      </c>
      <c r="B201" s="370" t="s">
        <v>190</v>
      </c>
      <c r="C201" s="378">
        <v>2733909</v>
      </c>
      <c r="D201" s="378">
        <v>14909</v>
      </c>
      <c r="E201" s="378">
        <v>536686</v>
      </c>
      <c r="F201" s="378">
        <v>970854</v>
      </c>
      <c r="G201" s="378">
        <v>1522449</v>
      </c>
      <c r="H201" s="378"/>
      <c r="I201" s="378">
        <v>485469</v>
      </c>
      <c r="J201" s="378">
        <v>485524</v>
      </c>
      <c r="K201" s="378">
        <v>805668</v>
      </c>
      <c r="L201" s="378">
        <v>1776661</v>
      </c>
      <c r="M201" s="379"/>
      <c r="N201" s="379">
        <v>-127239</v>
      </c>
      <c r="O201" s="379">
        <v>144793</v>
      </c>
      <c r="P201" s="379">
        <v>17554</v>
      </c>
    </row>
    <row r="202" spans="1:16">
      <c r="A202" s="367">
        <v>1001</v>
      </c>
      <c r="B202" s="371" t="s">
        <v>191</v>
      </c>
      <c r="C202" s="375">
        <v>9368604</v>
      </c>
      <c r="D202" s="375">
        <v>51089</v>
      </c>
      <c r="E202" s="375">
        <v>1839124</v>
      </c>
      <c r="F202" s="375">
        <v>991223</v>
      </c>
      <c r="G202" s="375">
        <v>2881436</v>
      </c>
      <c r="H202" s="375"/>
      <c r="I202" s="375">
        <v>1663613</v>
      </c>
      <c r="J202" s="375">
        <v>1663800</v>
      </c>
      <c r="K202" s="375">
        <v>1051133</v>
      </c>
      <c r="L202" s="375">
        <v>4378546</v>
      </c>
      <c r="M202" s="376"/>
      <c r="N202" s="376">
        <v>-436024</v>
      </c>
      <c r="O202" s="376">
        <v>91452</v>
      </c>
      <c r="P202" s="376">
        <v>-344572</v>
      </c>
    </row>
    <row r="203" spans="1:16">
      <c r="A203" s="369">
        <v>11035</v>
      </c>
      <c r="B203" s="370" t="s">
        <v>192</v>
      </c>
      <c r="C203" s="378">
        <v>16125066</v>
      </c>
      <c r="D203" s="378">
        <v>87933</v>
      </c>
      <c r="E203" s="378">
        <v>3165466</v>
      </c>
      <c r="F203" s="378">
        <v>1382121</v>
      </c>
      <c r="G203" s="378">
        <v>4635520</v>
      </c>
      <c r="H203" s="378"/>
      <c r="I203" s="378">
        <v>2863380</v>
      </c>
      <c r="J203" s="378">
        <v>2863701</v>
      </c>
      <c r="K203" s="378">
        <v>147876</v>
      </c>
      <c r="L203" s="378">
        <v>5874957</v>
      </c>
      <c r="M203" s="379"/>
      <c r="N203" s="379">
        <v>-750476</v>
      </c>
      <c r="O203" s="379">
        <v>275170</v>
      </c>
      <c r="P203" s="379">
        <v>-475306</v>
      </c>
    </row>
    <row r="204" spans="1:16">
      <c r="A204" s="367">
        <v>2320</v>
      </c>
      <c r="B204" s="368" t="s">
        <v>193</v>
      </c>
      <c r="C204" s="389">
        <v>1987343</v>
      </c>
      <c r="D204" s="389">
        <v>10837</v>
      </c>
      <c r="E204" s="389">
        <v>390130</v>
      </c>
      <c r="F204" s="389">
        <v>65855</v>
      </c>
      <c r="G204" s="389">
        <v>466822</v>
      </c>
      <c r="H204" s="389"/>
      <c r="I204" s="389">
        <v>352899</v>
      </c>
      <c r="J204" s="389">
        <v>352939</v>
      </c>
      <c r="K204" s="392">
        <v>45713</v>
      </c>
      <c r="L204" s="389">
        <v>751551</v>
      </c>
      <c r="M204" s="390"/>
      <c r="N204" s="390">
        <v>-92493</v>
      </c>
      <c r="O204" s="390">
        <v>-761</v>
      </c>
      <c r="P204" s="390">
        <v>-93254</v>
      </c>
    </row>
    <row r="205" spans="1:16">
      <c r="A205" s="369">
        <v>28084</v>
      </c>
      <c r="B205" s="370" t="s">
        <v>194</v>
      </c>
      <c r="C205" s="378">
        <v>1528822</v>
      </c>
      <c r="D205" s="378">
        <v>8337</v>
      </c>
      <c r="E205" s="378">
        <v>300119</v>
      </c>
      <c r="F205" s="378">
        <v>64936</v>
      </c>
      <c r="G205" s="378">
        <v>373392</v>
      </c>
      <c r="H205" s="378"/>
      <c r="I205" s="378">
        <v>271478</v>
      </c>
      <c r="J205" s="378">
        <v>271508</v>
      </c>
      <c r="K205" s="378">
        <v>38494</v>
      </c>
      <c r="L205" s="378">
        <v>581480</v>
      </c>
      <c r="M205" s="379"/>
      <c r="N205" s="379">
        <v>-71153</v>
      </c>
      <c r="O205" s="379">
        <v>7805</v>
      </c>
      <c r="P205" s="379">
        <v>-63348</v>
      </c>
    </row>
    <row r="206" spans="1:16">
      <c r="A206" s="367">
        <v>20125</v>
      </c>
      <c r="B206" s="371" t="s">
        <v>195</v>
      </c>
      <c r="C206" s="375">
        <v>2198128</v>
      </c>
      <c r="D206" s="375">
        <v>11987</v>
      </c>
      <c r="E206" s="375">
        <v>431508</v>
      </c>
      <c r="F206" s="401">
        <v>0</v>
      </c>
      <c r="G206" s="375">
        <v>443495</v>
      </c>
      <c r="H206" s="375"/>
      <c r="I206" s="375">
        <v>390329</v>
      </c>
      <c r="J206" s="375">
        <v>390373</v>
      </c>
      <c r="K206" s="375">
        <v>502733</v>
      </c>
      <c r="L206" s="375">
        <v>1283435</v>
      </c>
      <c r="M206" s="376"/>
      <c r="N206" s="376">
        <v>-102303</v>
      </c>
      <c r="O206" s="376">
        <v>-133630</v>
      </c>
      <c r="P206" s="376">
        <v>-235933</v>
      </c>
    </row>
    <row r="207" spans="1:16">
      <c r="A207" s="369">
        <v>7445</v>
      </c>
      <c r="B207" s="370" t="s">
        <v>430</v>
      </c>
      <c r="C207" s="378">
        <v>220863</v>
      </c>
      <c r="D207" s="378">
        <v>1204</v>
      </c>
      <c r="E207" s="378">
        <v>43357</v>
      </c>
      <c r="F207" s="378">
        <v>224932</v>
      </c>
      <c r="G207" s="378">
        <v>269493</v>
      </c>
      <c r="H207" s="378"/>
      <c r="I207" s="378">
        <v>39219</v>
      </c>
      <c r="J207" s="378">
        <v>39224</v>
      </c>
      <c r="K207" s="402">
        <v>0</v>
      </c>
      <c r="L207" s="378">
        <v>78443</v>
      </c>
      <c r="M207" s="379"/>
      <c r="N207" s="379">
        <v>-10279</v>
      </c>
      <c r="O207" s="379">
        <v>45167</v>
      </c>
      <c r="P207" s="379">
        <v>34888</v>
      </c>
    </row>
    <row r="208" spans="1:16">
      <c r="A208" s="367">
        <v>4170</v>
      </c>
      <c r="B208" s="371" t="s">
        <v>196</v>
      </c>
      <c r="C208" s="375">
        <v>317437</v>
      </c>
      <c r="D208" s="375">
        <v>1731</v>
      </c>
      <c r="E208" s="375">
        <v>62315</v>
      </c>
      <c r="F208" s="375">
        <v>40613</v>
      </c>
      <c r="G208" s="375">
        <v>104659</v>
      </c>
      <c r="H208" s="375"/>
      <c r="I208" s="375">
        <v>56368</v>
      </c>
      <c r="J208" s="375">
        <v>56375</v>
      </c>
      <c r="K208" s="375">
        <v>25132</v>
      </c>
      <c r="L208" s="375">
        <v>137875</v>
      </c>
      <c r="M208" s="376"/>
      <c r="N208" s="376">
        <v>-14774</v>
      </c>
      <c r="O208" s="376">
        <v>1918</v>
      </c>
      <c r="P208" s="376">
        <v>-12856</v>
      </c>
    </row>
    <row r="209" spans="1:16">
      <c r="A209" s="369">
        <v>9029</v>
      </c>
      <c r="B209" s="370" t="s">
        <v>197</v>
      </c>
      <c r="C209" s="378">
        <v>4908104</v>
      </c>
      <c r="D209" s="378">
        <v>26765</v>
      </c>
      <c r="E209" s="378">
        <v>963496</v>
      </c>
      <c r="F209" s="378">
        <v>936078</v>
      </c>
      <c r="G209" s="378">
        <v>1926339</v>
      </c>
      <c r="H209" s="378"/>
      <c r="I209" s="378">
        <v>871548</v>
      </c>
      <c r="J209" s="378">
        <v>871646</v>
      </c>
      <c r="K209" s="378">
        <v>1104026</v>
      </c>
      <c r="L209" s="378">
        <v>2847220</v>
      </c>
      <c r="M209" s="379"/>
      <c r="N209" s="379">
        <v>-228428</v>
      </c>
      <c r="O209" s="379">
        <v>-156167</v>
      </c>
      <c r="P209" s="379">
        <v>-384595</v>
      </c>
    </row>
    <row r="210" spans="1:16">
      <c r="A210" s="367">
        <v>2580</v>
      </c>
      <c r="B210" s="371" t="s">
        <v>198</v>
      </c>
      <c r="C210" s="375">
        <v>731450</v>
      </c>
      <c r="D210" s="375">
        <v>3989</v>
      </c>
      <c r="E210" s="375">
        <v>143589</v>
      </c>
      <c r="F210" s="375">
        <v>38375</v>
      </c>
      <c r="G210" s="375">
        <v>185953</v>
      </c>
      <c r="H210" s="375"/>
      <c r="I210" s="375">
        <v>129886</v>
      </c>
      <c r="J210" s="375">
        <v>129900</v>
      </c>
      <c r="K210" s="375">
        <v>97927</v>
      </c>
      <c r="L210" s="375">
        <v>357713</v>
      </c>
      <c r="M210" s="376"/>
      <c r="N210" s="376">
        <v>-34042</v>
      </c>
      <c r="O210" s="376">
        <v>-6933</v>
      </c>
      <c r="P210" s="376">
        <v>-40975</v>
      </c>
    </row>
    <row r="211" spans="1:16">
      <c r="A211" s="369">
        <v>20312</v>
      </c>
      <c r="B211" s="370" t="s">
        <v>199</v>
      </c>
      <c r="C211" s="378">
        <v>491272</v>
      </c>
      <c r="D211" s="378">
        <v>2679</v>
      </c>
      <c r="E211" s="378">
        <v>96440</v>
      </c>
      <c r="F211" s="378">
        <v>64035</v>
      </c>
      <c r="G211" s="378">
        <v>163154</v>
      </c>
      <c r="H211" s="378"/>
      <c r="I211" s="378">
        <v>87237</v>
      </c>
      <c r="J211" s="378">
        <v>87247</v>
      </c>
      <c r="K211" s="378">
        <v>22750</v>
      </c>
      <c r="L211" s="378">
        <v>197234</v>
      </c>
      <c r="M211" s="379"/>
      <c r="N211" s="379">
        <v>-22864</v>
      </c>
      <c r="O211" s="379">
        <v>8280</v>
      </c>
      <c r="P211" s="379">
        <v>-14584</v>
      </c>
    </row>
    <row r="212" spans="1:16">
      <c r="A212" s="367">
        <v>26150</v>
      </c>
      <c r="B212" s="371" t="s">
        <v>200</v>
      </c>
      <c r="C212" s="375">
        <v>3640033</v>
      </c>
      <c r="D212" s="375">
        <v>19850</v>
      </c>
      <c r="E212" s="375">
        <v>714565</v>
      </c>
      <c r="F212" s="375">
        <v>793552</v>
      </c>
      <c r="G212" s="375">
        <v>1527967</v>
      </c>
      <c r="H212" s="375"/>
      <c r="I212" s="375">
        <v>646372</v>
      </c>
      <c r="J212" s="375">
        <v>646445</v>
      </c>
      <c r="K212" s="401">
        <v>0</v>
      </c>
      <c r="L212" s="375">
        <v>1292817</v>
      </c>
      <c r="M212" s="376"/>
      <c r="N212" s="376">
        <v>-169411</v>
      </c>
      <c r="O212" s="376">
        <v>242350</v>
      </c>
      <c r="P212" s="376">
        <v>72939</v>
      </c>
    </row>
    <row r="213" spans="1:16">
      <c r="A213" s="369">
        <v>5016</v>
      </c>
      <c r="B213" s="370" t="s">
        <v>201</v>
      </c>
      <c r="C213" s="378">
        <v>411913</v>
      </c>
      <c r="D213" s="378">
        <v>2246</v>
      </c>
      <c r="E213" s="378">
        <v>80861</v>
      </c>
      <c r="F213" s="378">
        <v>59256</v>
      </c>
      <c r="G213" s="378">
        <v>142363</v>
      </c>
      <c r="H213" s="378"/>
      <c r="I213" s="378">
        <v>73145</v>
      </c>
      <c r="J213" s="378">
        <v>73153</v>
      </c>
      <c r="K213" s="378">
        <v>113957</v>
      </c>
      <c r="L213" s="378">
        <v>260255</v>
      </c>
      <c r="M213" s="379"/>
      <c r="N213" s="379">
        <v>-19171</v>
      </c>
      <c r="O213" s="379">
        <v>-4622</v>
      </c>
      <c r="P213" s="379">
        <v>-23793</v>
      </c>
    </row>
    <row r="214" spans="1:16">
      <c r="A214" s="367">
        <v>6150</v>
      </c>
      <c r="B214" s="371" t="s">
        <v>202</v>
      </c>
      <c r="C214" s="375">
        <v>384620</v>
      </c>
      <c r="D214" s="375">
        <v>2097</v>
      </c>
      <c r="E214" s="375">
        <v>75504</v>
      </c>
      <c r="F214" s="375">
        <v>242327</v>
      </c>
      <c r="G214" s="375">
        <v>319928</v>
      </c>
      <c r="H214" s="375"/>
      <c r="I214" s="375">
        <v>68298</v>
      </c>
      <c r="J214" s="375">
        <v>68306</v>
      </c>
      <c r="K214" s="401">
        <v>0</v>
      </c>
      <c r="L214" s="375">
        <v>136604</v>
      </c>
      <c r="M214" s="376"/>
      <c r="N214" s="376">
        <v>-17901</v>
      </c>
      <c r="O214" s="376">
        <v>70516</v>
      </c>
      <c r="P214" s="376">
        <v>52615</v>
      </c>
    </row>
    <row r="215" spans="1:16">
      <c r="A215" s="369">
        <v>4480</v>
      </c>
      <c r="B215" s="370" t="s">
        <v>203</v>
      </c>
      <c r="C215" s="378">
        <v>788135</v>
      </c>
      <c r="D215" s="378">
        <v>4298</v>
      </c>
      <c r="E215" s="378">
        <v>154717</v>
      </c>
      <c r="F215" s="378">
        <v>26840</v>
      </c>
      <c r="G215" s="378">
        <v>185855</v>
      </c>
      <c r="H215" s="378"/>
      <c r="I215" s="378">
        <v>139952</v>
      </c>
      <c r="J215" s="378">
        <v>139967</v>
      </c>
      <c r="K215" s="378">
        <v>56685</v>
      </c>
      <c r="L215" s="378">
        <v>336604</v>
      </c>
      <c r="M215" s="379"/>
      <c r="N215" s="379">
        <v>-36681</v>
      </c>
      <c r="O215" s="379">
        <v>-5334</v>
      </c>
      <c r="P215" s="379">
        <v>-42015</v>
      </c>
    </row>
    <row r="216" spans="1:16">
      <c r="A216" s="367">
        <v>28085</v>
      </c>
      <c r="B216" s="371" t="s">
        <v>204</v>
      </c>
      <c r="C216" s="375">
        <v>1387739</v>
      </c>
      <c r="D216" s="375">
        <v>7568</v>
      </c>
      <c r="E216" s="375">
        <v>272423</v>
      </c>
      <c r="F216" s="375">
        <v>21692</v>
      </c>
      <c r="G216" s="375">
        <v>301683</v>
      </c>
      <c r="H216" s="375"/>
      <c r="I216" s="375">
        <v>246425</v>
      </c>
      <c r="J216" s="375">
        <v>246453</v>
      </c>
      <c r="K216" s="375">
        <v>38402</v>
      </c>
      <c r="L216" s="375">
        <v>531280</v>
      </c>
      <c r="M216" s="376"/>
      <c r="N216" s="376">
        <v>-64587</v>
      </c>
      <c r="O216" s="376">
        <v>-2164</v>
      </c>
      <c r="P216" s="376">
        <v>-66751</v>
      </c>
    </row>
    <row r="217" spans="1:16">
      <c r="A217" s="369">
        <v>3240</v>
      </c>
      <c r="B217" s="370" t="s">
        <v>205</v>
      </c>
      <c r="C217" s="378">
        <v>8306700</v>
      </c>
      <c r="D217" s="378">
        <v>45298</v>
      </c>
      <c r="E217" s="378">
        <v>1630665</v>
      </c>
      <c r="F217" s="402">
        <v>0</v>
      </c>
      <c r="G217" s="378">
        <v>1675963</v>
      </c>
      <c r="H217" s="378"/>
      <c r="I217" s="378">
        <v>1475047</v>
      </c>
      <c r="J217" s="378">
        <v>1475213</v>
      </c>
      <c r="K217" s="378">
        <v>989076</v>
      </c>
      <c r="L217" s="378">
        <v>3939336</v>
      </c>
      <c r="M217" s="379"/>
      <c r="N217" s="379">
        <v>-386602</v>
      </c>
      <c r="O217" s="379">
        <v>-286794</v>
      </c>
      <c r="P217" s="379">
        <v>-673396</v>
      </c>
    </row>
    <row r="218" spans="1:16">
      <c r="A218" s="367">
        <v>12326</v>
      </c>
      <c r="B218" s="371" t="s">
        <v>206</v>
      </c>
      <c r="C218" s="375">
        <v>490432</v>
      </c>
      <c r="D218" s="375">
        <v>2674</v>
      </c>
      <c r="E218" s="375">
        <v>96275</v>
      </c>
      <c r="F218" s="375">
        <v>80822</v>
      </c>
      <c r="G218" s="375">
        <v>179771</v>
      </c>
      <c r="H218" s="375"/>
      <c r="I218" s="375">
        <v>87088</v>
      </c>
      <c r="J218" s="375">
        <v>87097</v>
      </c>
      <c r="K218" s="375">
        <v>17125</v>
      </c>
      <c r="L218" s="375">
        <v>191310</v>
      </c>
      <c r="M218" s="376"/>
      <c r="N218" s="376">
        <v>-22825</v>
      </c>
      <c r="O218" s="376">
        <v>11279</v>
      </c>
      <c r="P218" s="376">
        <v>-11546</v>
      </c>
    </row>
    <row r="219" spans="1:16">
      <c r="A219" s="369">
        <v>29123</v>
      </c>
      <c r="B219" s="370" t="s">
        <v>207</v>
      </c>
      <c r="C219" s="378">
        <v>96316652</v>
      </c>
      <c r="D219" s="378">
        <v>525233</v>
      </c>
      <c r="E219" s="378">
        <v>18907648</v>
      </c>
      <c r="F219" s="378">
        <v>20278075</v>
      </c>
      <c r="G219" s="378">
        <v>39710956</v>
      </c>
      <c r="H219" s="378"/>
      <c r="I219" s="378">
        <v>17103258</v>
      </c>
      <c r="J219" s="378">
        <v>17105178</v>
      </c>
      <c r="K219" s="378">
        <v>8460775</v>
      </c>
      <c r="L219" s="378">
        <v>42669211</v>
      </c>
      <c r="M219" s="379"/>
      <c r="N219" s="379">
        <v>-4482671</v>
      </c>
      <c r="O219" s="379">
        <v>2274548</v>
      </c>
      <c r="P219" s="379">
        <v>-2208123</v>
      </c>
    </row>
    <row r="220" spans="1:16">
      <c r="A220" s="367">
        <v>2318</v>
      </c>
      <c r="B220" s="371" t="s">
        <v>208</v>
      </c>
      <c r="C220" s="375">
        <v>2083918</v>
      </c>
      <c r="D220" s="375">
        <v>11364</v>
      </c>
      <c r="E220" s="375">
        <v>409088</v>
      </c>
      <c r="F220" s="375">
        <v>138912</v>
      </c>
      <c r="G220" s="375">
        <v>559364</v>
      </c>
      <c r="H220" s="375"/>
      <c r="I220" s="375">
        <v>370048</v>
      </c>
      <c r="J220" s="375">
        <v>370090</v>
      </c>
      <c r="K220" s="375">
        <v>27899</v>
      </c>
      <c r="L220" s="375">
        <v>768037</v>
      </c>
      <c r="M220" s="376"/>
      <c r="N220" s="376">
        <v>-96988</v>
      </c>
      <c r="O220" s="376">
        <v>26498</v>
      </c>
      <c r="P220" s="376">
        <v>-70490</v>
      </c>
    </row>
    <row r="221" spans="1:16">
      <c r="A221" s="369">
        <v>3250</v>
      </c>
      <c r="B221" s="370" t="s">
        <v>209</v>
      </c>
      <c r="C221" s="378">
        <v>2973247</v>
      </c>
      <c r="D221" s="378">
        <v>16214</v>
      </c>
      <c r="E221" s="378">
        <v>583670</v>
      </c>
      <c r="F221" s="378">
        <v>164543</v>
      </c>
      <c r="G221" s="378">
        <v>764427</v>
      </c>
      <c r="H221" s="378"/>
      <c r="I221" s="378">
        <v>527969</v>
      </c>
      <c r="J221" s="378">
        <v>528028</v>
      </c>
      <c r="K221" s="378">
        <v>245520</v>
      </c>
      <c r="L221" s="378">
        <v>1301517</v>
      </c>
      <c r="M221" s="379"/>
      <c r="N221" s="379">
        <v>-138378</v>
      </c>
      <c r="O221" s="379">
        <v>3569</v>
      </c>
      <c r="P221" s="379">
        <v>-134809</v>
      </c>
    </row>
    <row r="222" spans="1:16">
      <c r="A222" s="367">
        <v>2313</v>
      </c>
      <c r="B222" s="371" t="s">
        <v>210</v>
      </c>
      <c r="C222" s="375">
        <v>274189</v>
      </c>
      <c r="D222" s="375">
        <v>1495</v>
      </c>
      <c r="E222" s="375">
        <v>53825</v>
      </c>
      <c r="F222" s="401">
        <v>0</v>
      </c>
      <c r="G222" s="375">
        <v>55320</v>
      </c>
      <c r="H222" s="375"/>
      <c r="I222" s="375">
        <v>48689</v>
      </c>
      <c r="J222" s="375">
        <v>48694</v>
      </c>
      <c r="K222" s="375">
        <v>42616</v>
      </c>
      <c r="L222" s="375">
        <v>139999</v>
      </c>
      <c r="M222" s="376"/>
      <c r="N222" s="376">
        <v>-12761</v>
      </c>
      <c r="O222" s="376">
        <v>-13067</v>
      </c>
      <c r="P222" s="376">
        <v>-25828</v>
      </c>
    </row>
    <row r="223" spans="1:16">
      <c r="A223" s="382">
        <v>4011</v>
      </c>
      <c r="B223" s="383" t="s">
        <v>211</v>
      </c>
      <c r="C223" s="384">
        <v>52020271</v>
      </c>
      <c r="D223" s="384">
        <v>283676</v>
      </c>
      <c r="E223" s="384">
        <v>10211952</v>
      </c>
      <c r="F223" s="384">
        <v>4089084</v>
      </c>
      <c r="G223" s="384">
        <v>14584712</v>
      </c>
      <c r="H223" s="384"/>
      <c r="I223" s="384">
        <v>9237407</v>
      </c>
      <c r="J223" s="384">
        <v>9238444</v>
      </c>
      <c r="K223" s="384">
        <v>811601</v>
      </c>
      <c r="L223" s="384">
        <v>19287452</v>
      </c>
      <c r="M223" s="385"/>
      <c r="N223" s="385">
        <v>-2421074</v>
      </c>
      <c r="O223" s="385">
        <v>745269</v>
      </c>
      <c r="P223" s="385">
        <v>-1675805</v>
      </c>
    </row>
    <row r="224" spans="1:16">
      <c r="A224" s="367">
        <v>31092</v>
      </c>
      <c r="B224" s="371" t="s">
        <v>212</v>
      </c>
      <c r="C224" s="375">
        <v>820887</v>
      </c>
      <c r="D224" s="375">
        <v>4476</v>
      </c>
      <c r="E224" s="375">
        <v>161146</v>
      </c>
      <c r="F224" s="375">
        <v>37255</v>
      </c>
      <c r="G224" s="375">
        <v>202877</v>
      </c>
      <c r="H224" s="375"/>
      <c r="I224" s="375">
        <v>145767</v>
      </c>
      <c r="J224" s="375">
        <v>145784</v>
      </c>
      <c r="K224" s="375">
        <v>20836</v>
      </c>
      <c r="L224" s="375">
        <v>312387</v>
      </c>
      <c r="M224" s="376"/>
      <c r="N224" s="376">
        <v>-38205</v>
      </c>
      <c r="O224" s="376">
        <v>4404</v>
      </c>
      <c r="P224" s="376">
        <v>-33801</v>
      </c>
    </row>
    <row r="225" spans="1:16">
      <c r="A225" s="369">
        <v>26081</v>
      </c>
      <c r="B225" s="370" t="s">
        <v>213</v>
      </c>
      <c r="C225" s="378">
        <v>9728870</v>
      </c>
      <c r="D225" s="378">
        <v>53053</v>
      </c>
      <c r="E225" s="378">
        <v>1909847</v>
      </c>
      <c r="F225" s="378">
        <v>592541</v>
      </c>
      <c r="G225" s="378">
        <v>2555441</v>
      </c>
      <c r="H225" s="378"/>
      <c r="I225" s="378">
        <v>1727587</v>
      </c>
      <c r="J225" s="378">
        <v>1727781</v>
      </c>
      <c r="K225" s="378">
        <v>53679</v>
      </c>
      <c r="L225" s="378">
        <v>3509047</v>
      </c>
      <c r="M225" s="379"/>
      <c r="N225" s="379">
        <v>-452791</v>
      </c>
      <c r="O225" s="379">
        <v>164572</v>
      </c>
      <c r="P225" s="379">
        <v>-288219</v>
      </c>
    </row>
    <row r="226" spans="1:16">
      <c r="A226" s="367">
        <v>29305</v>
      </c>
      <c r="B226" s="371" t="s">
        <v>214</v>
      </c>
      <c r="C226" s="375">
        <v>815848</v>
      </c>
      <c r="D226" s="375">
        <v>4449</v>
      </c>
      <c r="E226" s="375">
        <v>160157</v>
      </c>
      <c r="F226" s="375">
        <v>151492</v>
      </c>
      <c r="G226" s="375">
        <v>316098</v>
      </c>
      <c r="H226" s="375"/>
      <c r="I226" s="375">
        <v>144873</v>
      </c>
      <c r="J226" s="375">
        <v>144889</v>
      </c>
      <c r="K226" s="401">
        <v>0</v>
      </c>
      <c r="L226" s="375">
        <v>289762</v>
      </c>
      <c r="M226" s="376"/>
      <c r="N226" s="376">
        <v>-37970</v>
      </c>
      <c r="O226" s="376">
        <v>46975</v>
      </c>
      <c r="P226" s="376">
        <v>9005</v>
      </c>
    </row>
    <row r="227" spans="1:16">
      <c r="A227" s="369">
        <v>10032</v>
      </c>
      <c r="B227" s="370" t="s">
        <v>215</v>
      </c>
      <c r="C227" s="378">
        <v>1099694</v>
      </c>
      <c r="D227" s="378">
        <v>5997</v>
      </c>
      <c r="E227" s="378">
        <v>215878</v>
      </c>
      <c r="F227" s="378">
        <v>60051</v>
      </c>
      <c r="G227" s="378">
        <v>281926</v>
      </c>
      <c r="H227" s="378"/>
      <c r="I227" s="378">
        <v>195276</v>
      </c>
      <c r="J227" s="378">
        <v>195298</v>
      </c>
      <c r="K227" s="378">
        <v>131358</v>
      </c>
      <c r="L227" s="378">
        <v>521932</v>
      </c>
      <c r="M227" s="379"/>
      <c r="N227" s="379">
        <v>-51181</v>
      </c>
      <c r="O227" s="379">
        <v>-8320</v>
      </c>
      <c r="P227" s="379">
        <v>-59501</v>
      </c>
    </row>
    <row r="228" spans="1:16">
      <c r="A228" s="367">
        <v>32107</v>
      </c>
      <c r="B228" s="371" t="s">
        <v>216</v>
      </c>
      <c r="C228" s="375">
        <v>1424689</v>
      </c>
      <c r="D228" s="375">
        <v>7769</v>
      </c>
      <c r="E228" s="375">
        <v>279677</v>
      </c>
      <c r="F228" s="375">
        <v>61902</v>
      </c>
      <c r="G228" s="375">
        <v>349348</v>
      </c>
      <c r="H228" s="375"/>
      <c r="I228" s="375">
        <v>252987</v>
      </c>
      <c r="J228" s="375">
        <v>253015</v>
      </c>
      <c r="K228" s="375">
        <v>519839</v>
      </c>
      <c r="L228" s="375">
        <v>1025841</v>
      </c>
      <c r="M228" s="376"/>
      <c r="N228" s="376">
        <v>-66306</v>
      </c>
      <c r="O228" s="376">
        <v>-101468</v>
      </c>
      <c r="P228" s="376">
        <v>-167774</v>
      </c>
    </row>
    <row r="229" spans="1:16">
      <c r="A229" s="369">
        <v>3260</v>
      </c>
      <c r="B229" s="370" t="s">
        <v>217</v>
      </c>
      <c r="C229" s="378">
        <v>26412391</v>
      </c>
      <c r="D229" s="378">
        <v>144032</v>
      </c>
      <c r="E229" s="378">
        <v>5184941</v>
      </c>
      <c r="F229" s="378">
        <v>1594633</v>
      </c>
      <c r="G229" s="378">
        <v>6923606</v>
      </c>
      <c r="H229" s="378"/>
      <c r="I229" s="378">
        <v>4690133</v>
      </c>
      <c r="J229" s="378">
        <v>4690660</v>
      </c>
      <c r="K229" s="378">
        <v>4680818</v>
      </c>
      <c r="L229" s="378">
        <v>14061611</v>
      </c>
      <c r="M229" s="379"/>
      <c r="N229" s="379">
        <v>-1229259</v>
      </c>
      <c r="O229" s="379">
        <v>-592137</v>
      </c>
      <c r="P229" s="379">
        <v>-1821396</v>
      </c>
    </row>
    <row r="230" spans="1:16">
      <c r="A230" s="367">
        <v>4390</v>
      </c>
      <c r="B230" s="371" t="s">
        <v>218</v>
      </c>
      <c r="C230" s="375">
        <v>239758</v>
      </c>
      <c r="D230" s="375">
        <v>1307</v>
      </c>
      <c r="E230" s="375">
        <v>47066</v>
      </c>
      <c r="F230" s="375">
        <v>19338</v>
      </c>
      <c r="G230" s="375">
        <v>67711</v>
      </c>
      <c r="H230" s="375"/>
      <c r="I230" s="375">
        <v>42575</v>
      </c>
      <c r="J230" s="375">
        <v>42579</v>
      </c>
      <c r="K230" s="375">
        <v>7063</v>
      </c>
      <c r="L230" s="375">
        <v>92217</v>
      </c>
      <c r="M230" s="376"/>
      <c r="N230" s="376">
        <v>-11159</v>
      </c>
      <c r="O230" s="376">
        <v>3884</v>
      </c>
      <c r="P230" s="376">
        <v>-7275</v>
      </c>
    </row>
    <row r="231" spans="1:16">
      <c r="A231" s="369">
        <v>3270</v>
      </c>
      <c r="B231" s="370" t="s">
        <v>219</v>
      </c>
      <c r="C231" s="378">
        <v>3803371</v>
      </c>
      <c r="D231" s="378">
        <v>20741</v>
      </c>
      <c r="E231" s="378">
        <v>746629</v>
      </c>
      <c r="F231" s="378">
        <v>3175</v>
      </c>
      <c r="G231" s="378">
        <v>770545</v>
      </c>
      <c r="H231" s="378"/>
      <c r="I231" s="378">
        <v>675377</v>
      </c>
      <c r="J231" s="378">
        <v>675453</v>
      </c>
      <c r="K231" s="378">
        <v>181025</v>
      </c>
      <c r="L231" s="378">
        <v>1531855</v>
      </c>
      <c r="M231" s="379"/>
      <c r="N231" s="379">
        <v>-177013</v>
      </c>
      <c r="O231" s="379">
        <v>-37533</v>
      </c>
      <c r="P231" s="379">
        <v>-214546</v>
      </c>
    </row>
    <row r="232" spans="1:16">
      <c r="A232" s="367">
        <v>29303</v>
      </c>
      <c r="B232" s="371" t="s">
        <v>220</v>
      </c>
      <c r="C232" s="375">
        <v>746566</v>
      </c>
      <c r="D232" s="375">
        <v>4071</v>
      </c>
      <c r="E232" s="375">
        <v>146556</v>
      </c>
      <c r="F232" s="375">
        <v>387440</v>
      </c>
      <c r="G232" s="375">
        <v>538067</v>
      </c>
      <c r="H232" s="375"/>
      <c r="I232" s="375">
        <v>132570</v>
      </c>
      <c r="J232" s="375">
        <v>132585</v>
      </c>
      <c r="K232" s="375">
        <v>68251</v>
      </c>
      <c r="L232" s="375">
        <v>333406</v>
      </c>
      <c r="M232" s="376"/>
      <c r="N232" s="376">
        <v>-34746</v>
      </c>
      <c r="O232" s="376">
        <v>59599</v>
      </c>
      <c r="P232" s="376">
        <v>24853</v>
      </c>
    </row>
    <row r="233" spans="1:16">
      <c r="A233" s="369">
        <v>3280</v>
      </c>
      <c r="B233" s="370" t="s">
        <v>221</v>
      </c>
      <c r="C233" s="378">
        <v>16994240</v>
      </c>
      <c r="D233" s="378">
        <v>92673</v>
      </c>
      <c r="E233" s="378">
        <v>3336091</v>
      </c>
      <c r="F233" s="378">
        <v>1864461</v>
      </c>
      <c r="G233" s="378">
        <v>5293225</v>
      </c>
      <c r="H233" s="378"/>
      <c r="I233" s="378">
        <v>3017722</v>
      </c>
      <c r="J233" s="378">
        <v>3018061</v>
      </c>
      <c r="K233" s="378">
        <v>3899780</v>
      </c>
      <c r="L233" s="378">
        <v>9935563</v>
      </c>
      <c r="M233" s="379"/>
      <c r="N233" s="379">
        <v>-790929</v>
      </c>
      <c r="O233" s="379">
        <v>-319078</v>
      </c>
      <c r="P233" s="379">
        <v>-1110007</v>
      </c>
    </row>
    <row r="234" spans="1:16">
      <c r="A234" s="367">
        <v>4260</v>
      </c>
      <c r="B234" s="371" t="s">
        <v>222</v>
      </c>
      <c r="C234" s="375">
        <v>1386899</v>
      </c>
      <c r="D234" s="375">
        <v>7563</v>
      </c>
      <c r="E234" s="375">
        <v>272258</v>
      </c>
      <c r="F234" s="375">
        <v>85412</v>
      </c>
      <c r="G234" s="375">
        <v>365233</v>
      </c>
      <c r="H234" s="375"/>
      <c r="I234" s="375">
        <v>246276</v>
      </c>
      <c r="J234" s="375">
        <v>246304</v>
      </c>
      <c r="K234" s="375">
        <v>29934</v>
      </c>
      <c r="L234" s="375">
        <v>522514</v>
      </c>
      <c r="M234" s="376"/>
      <c r="N234" s="376">
        <v>-64548</v>
      </c>
      <c r="O234" s="376">
        <v>21289</v>
      </c>
      <c r="P234" s="376">
        <v>-43259</v>
      </c>
    </row>
    <row r="235" spans="1:16">
      <c r="A235" s="369">
        <v>1003</v>
      </c>
      <c r="B235" s="370" t="s">
        <v>223</v>
      </c>
      <c r="C235" s="378">
        <v>19898205</v>
      </c>
      <c r="D235" s="378">
        <v>108509</v>
      </c>
      <c r="E235" s="378">
        <v>3906160</v>
      </c>
      <c r="F235" s="402">
        <v>0</v>
      </c>
      <c r="G235" s="378">
        <v>4014669</v>
      </c>
      <c r="H235" s="378"/>
      <c r="I235" s="378">
        <v>3533388</v>
      </c>
      <c r="J235" s="378">
        <v>3533785</v>
      </c>
      <c r="K235" s="378">
        <v>2570514</v>
      </c>
      <c r="L235" s="378">
        <v>9637687</v>
      </c>
      <c r="M235" s="379"/>
      <c r="N235" s="379">
        <v>-926082</v>
      </c>
      <c r="O235" s="379">
        <v>-757915</v>
      </c>
      <c r="P235" s="379">
        <v>-1683997</v>
      </c>
    </row>
    <row r="236" spans="1:16">
      <c r="A236" s="367">
        <v>3290</v>
      </c>
      <c r="B236" s="371" t="s">
        <v>224</v>
      </c>
      <c r="C236" s="375">
        <v>40441783</v>
      </c>
      <c r="D236" s="375">
        <v>220537</v>
      </c>
      <c r="E236" s="375">
        <v>7939011</v>
      </c>
      <c r="F236" s="375">
        <v>1215022</v>
      </c>
      <c r="G236" s="375">
        <v>9374570</v>
      </c>
      <c r="H236" s="375"/>
      <c r="I236" s="375">
        <v>7181378</v>
      </c>
      <c r="J236" s="375">
        <v>7182184</v>
      </c>
      <c r="K236" s="375">
        <v>3504412</v>
      </c>
      <c r="L236" s="375">
        <v>17867974</v>
      </c>
      <c r="M236" s="376"/>
      <c r="N236" s="376">
        <v>-1882200</v>
      </c>
      <c r="O236" s="376">
        <v>-261644</v>
      </c>
      <c r="P236" s="376">
        <v>-2143844</v>
      </c>
    </row>
    <row r="237" spans="1:16">
      <c r="A237" s="369">
        <v>1002</v>
      </c>
      <c r="B237" s="370" t="s">
        <v>225</v>
      </c>
      <c r="C237" s="378">
        <v>75057160</v>
      </c>
      <c r="D237" s="378">
        <v>409301</v>
      </c>
      <c r="E237" s="378">
        <v>14734258</v>
      </c>
      <c r="F237" s="378">
        <v>3265865</v>
      </c>
      <c r="G237" s="378">
        <v>18409424</v>
      </c>
      <c r="H237" s="378"/>
      <c r="I237" s="378">
        <v>13328142</v>
      </c>
      <c r="J237" s="378">
        <v>13329638</v>
      </c>
      <c r="K237" s="378">
        <v>909745</v>
      </c>
      <c r="L237" s="378">
        <v>27567525</v>
      </c>
      <c r="M237" s="379"/>
      <c r="N237" s="379">
        <v>-3493234</v>
      </c>
      <c r="O237" s="379">
        <v>376466</v>
      </c>
      <c r="P237" s="379">
        <v>-3116768</v>
      </c>
    </row>
    <row r="238" spans="1:16">
      <c r="A238" s="367">
        <v>24072</v>
      </c>
      <c r="B238" s="371" t="s">
        <v>226</v>
      </c>
      <c r="C238" s="375">
        <v>4649871</v>
      </c>
      <c r="D238" s="375">
        <v>25357</v>
      </c>
      <c r="E238" s="375">
        <v>912803</v>
      </c>
      <c r="F238" s="375">
        <v>196114</v>
      </c>
      <c r="G238" s="375">
        <v>1134274</v>
      </c>
      <c r="H238" s="375"/>
      <c r="I238" s="375">
        <v>825693</v>
      </c>
      <c r="J238" s="375">
        <v>825785</v>
      </c>
      <c r="K238" s="375">
        <v>237025</v>
      </c>
      <c r="L238" s="375">
        <v>1888503</v>
      </c>
      <c r="M238" s="376"/>
      <c r="N238" s="376">
        <v>-216410</v>
      </c>
      <c r="O238" s="376">
        <v>-38860</v>
      </c>
      <c r="P238" s="376">
        <v>-255270</v>
      </c>
    </row>
    <row r="239" spans="1:16">
      <c r="A239" s="369">
        <v>14366</v>
      </c>
      <c r="B239" s="370" t="s">
        <v>227</v>
      </c>
      <c r="C239" s="378">
        <v>2364405</v>
      </c>
      <c r="D239" s="378">
        <v>12894</v>
      </c>
      <c r="E239" s="378">
        <v>464150</v>
      </c>
      <c r="F239" s="378">
        <v>103765</v>
      </c>
      <c r="G239" s="378">
        <v>580809</v>
      </c>
      <c r="H239" s="378"/>
      <c r="I239" s="378">
        <v>419855</v>
      </c>
      <c r="J239" s="378">
        <v>419902</v>
      </c>
      <c r="K239" s="378">
        <v>2382</v>
      </c>
      <c r="L239" s="378">
        <v>842139</v>
      </c>
      <c r="M239" s="379"/>
      <c r="N239" s="379">
        <v>-110042</v>
      </c>
      <c r="O239" s="379">
        <v>20013</v>
      </c>
      <c r="P239" s="379">
        <v>-90029</v>
      </c>
    </row>
    <row r="240" spans="1:16">
      <c r="A240" s="367">
        <v>4317</v>
      </c>
      <c r="B240" s="371" t="s">
        <v>228</v>
      </c>
      <c r="C240" s="375">
        <v>349349</v>
      </c>
      <c r="D240" s="375">
        <v>1905</v>
      </c>
      <c r="E240" s="375">
        <v>68580</v>
      </c>
      <c r="F240" s="375">
        <v>6414</v>
      </c>
      <c r="G240" s="375">
        <v>76899</v>
      </c>
      <c r="H240" s="375"/>
      <c r="I240" s="375">
        <v>62035</v>
      </c>
      <c r="J240" s="375">
        <v>62042</v>
      </c>
      <c r="K240" s="375">
        <v>29100</v>
      </c>
      <c r="L240" s="375">
        <v>153177</v>
      </c>
      <c r="M240" s="376"/>
      <c r="N240" s="376">
        <v>-16259</v>
      </c>
      <c r="O240" s="376">
        <v>-9410</v>
      </c>
      <c r="P240" s="376">
        <v>-25669</v>
      </c>
    </row>
    <row r="241" spans="1:16">
      <c r="A241" s="369">
        <v>32120</v>
      </c>
      <c r="B241" s="370" t="s">
        <v>229</v>
      </c>
      <c r="C241" s="378">
        <v>934257</v>
      </c>
      <c r="D241" s="378">
        <v>5095</v>
      </c>
      <c r="E241" s="378">
        <v>183401</v>
      </c>
      <c r="F241" s="378">
        <v>490224</v>
      </c>
      <c r="G241" s="378">
        <v>678720</v>
      </c>
      <c r="H241" s="378"/>
      <c r="I241" s="378">
        <v>165899</v>
      </c>
      <c r="J241" s="378">
        <v>165918</v>
      </c>
      <c r="K241" s="402">
        <v>0</v>
      </c>
      <c r="L241" s="378">
        <v>331817</v>
      </c>
      <c r="M241" s="379"/>
      <c r="N241" s="379">
        <v>-43481</v>
      </c>
      <c r="O241" s="379">
        <v>122633</v>
      </c>
      <c r="P241" s="379">
        <v>79152</v>
      </c>
    </row>
    <row r="242" spans="1:16">
      <c r="A242" s="367">
        <v>3300</v>
      </c>
      <c r="B242" s="371" t="s">
        <v>230</v>
      </c>
      <c r="C242" s="375">
        <v>2700738</v>
      </c>
      <c r="D242" s="375">
        <v>14728</v>
      </c>
      <c r="E242" s="375">
        <v>530174</v>
      </c>
      <c r="F242" s="375">
        <v>1718607</v>
      </c>
      <c r="G242" s="375">
        <v>2263509</v>
      </c>
      <c r="H242" s="375"/>
      <c r="I242" s="375">
        <v>479579</v>
      </c>
      <c r="J242" s="375">
        <v>479633</v>
      </c>
      <c r="K242" s="375">
        <v>108617</v>
      </c>
      <c r="L242" s="375">
        <v>1067829</v>
      </c>
      <c r="M242" s="376"/>
      <c r="N242" s="376">
        <v>-125695</v>
      </c>
      <c r="O242" s="376">
        <v>603892</v>
      </c>
      <c r="P242" s="376">
        <v>478197</v>
      </c>
    </row>
    <row r="243" spans="1:16">
      <c r="A243" s="369">
        <v>8026</v>
      </c>
      <c r="B243" s="370" t="s">
        <v>231</v>
      </c>
      <c r="C243" s="378">
        <v>14893527</v>
      </c>
      <c r="D243" s="378">
        <v>81217</v>
      </c>
      <c r="E243" s="378">
        <v>2923706</v>
      </c>
      <c r="F243" s="402">
        <v>0</v>
      </c>
      <c r="G243" s="378">
        <v>3004923</v>
      </c>
      <c r="H243" s="378"/>
      <c r="I243" s="378">
        <v>2644692</v>
      </c>
      <c r="J243" s="378">
        <v>2644988</v>
      </c>
      <c r="K243" s="378">
        <v>804397</v>
      </c>
      <c r="L243" s="378">
        <v>6094077</v>
      </c>
      <c r="M243" s="379"/>
      <c r="N243" s="379">
        <v>-693159</v>
      </c>
      <c r="O243" s="379">
        <v>-187389</v>
      </c>
      <c r="P243" s="379">
        <v>-880548</v>
      </c>
    </row>
    <row r="244" spans="1:16">
      <c r="A244" s="367">
        <v>32119</v>
      </c>
      <c r="B244" s="371" t="s">
        <v>232</v>
      </c>
      <c r="C244" s="375">
        <v>435007</v>
      </c>
      <c r="D244" s="375">
        <v>2372</v>
      </c>
      <c r="E244" s="375">
        <v>85395</v>
      </c>
      <c r="F244" s="375">
        <v>219218</v>
      </c>
      <c r="G244" s="375">
        <v>306985</v>
      </c>
      <c r="H244" s="375"/>
      <c r="I244" s="375">
        <v>77246</v>
      </c>
      <c r="J244" s="375">
        <v>77254</v>
      </c>
      <c r="K244" s="375">
        <v>93223</v>
      </c>
      <c r="L244" s="375">
        <v>247723</v>
      </c>
      <c r="M244" s="376"/>
      <c r="N244" s="376">
        <v>-20246</v>
      </c>
      <c r="O244" s="376">
        <v>48094</v>
      </c>
      <c r="P244" s="376">
        <v>27848</v>
      </c>
    </row>
    <row r="245" spans="1:16">
      <c r="A245" s="369">
        <v>25076</v>
      </c>
      <c r="B245" s="370" t="s">
        <v>233</v>
      </c>
      <c r="C245" s="378">
        <v>9002879</v>
      </c>
      <c r="D245" s="378">
        <v>49094</v>
      </c>
      <c r="E245" s="378">
        <v>1767330</v>
      </c>
      <c r="F245" s="378">
        <v>383558</v>
      </c>
      <c r="G245" s="378">
        <v>2199982</v>
      </c>
      <c r="H245" s="378"/>
      <c r="I245" s="378">
        <v>1598670</v>
      </c>
      <c r="J245" s="378">
        <v>1598850</v>
      </c>
      <c r="K245" s="378">
        <v>176447</v>
      </c>
      <c r="L245" s="378">
        <v>3373967</v>
      </c>
      <c r="M245" s="379"/>
      <c r="N245" s="379">
        <v>-419003</v>
      </c>
      <c r="O245" s="379">
        <v>36141</v>
      </c>
      <c r="P245" s="379">
        <v>-382862</v>
      </c>
    </row>
    <row r="246" spans="1:16">
      <c r="A246" s="367">
        <v>2440</v>
      </c>
      <c r="B246" s="371" t="s">
        <v>414</v>
      </c>
      <c r="C246" s="375">
        <v>552576</v>
      </c>
      <c r="D246" s="375">
        <v>3013</v>
      </c>
      <c r="E246" s="375">
        <v>108475</v>
      </c>
      <c r="F246" s="375">
        <v>558588</v>
      </c>
      <c r="G246" s="375">
        <v>670076</v>
      </c>
      <c r="H246" s="375"/>
      <c r="I246" s="375">
        <v>98123</v>
      </c>
      <c r="J246" s="375">
        <v>98134</v>
      </c>
      <c r="K246" s="401">
        <v>0</v>
      </c>
      <c r="L246" s="375">
        <v>196257</v>
      </c>
      <c r="M246" s="376"/>
      <c r="N246" s="376">
        <v>-25717</v>
      </c>
      <c r="O246" s="376">
        <v>113628</v>
      </c>
      <c r="P246" s="376">
        <v>87911</v>
      </c>
    </row>
    <row r="247" spans="1:16">
      <c r="A247" s="369">
        <v>2309</v>
      </c>
      <c r="B247" s="370" t="s">
        <v>234</v>
      </c>
      <c r="C247" s="378">
        <v>3482154</v>
      </c>
      <c r="D247" s="378">
        <v>18989</v>
      </c>
      <c r="E247" s="378">
        <v>683572</v>
      </c>
      <c r="F247" s="378">
        <v>325549</v>
      </c>
      <c r="G247" s="378">
        <v>1028110</v>
      </c>
      <c r="H247" s="378"/>
      <c r="I247" s="378">
        <v>618337</v>
      </c>
      <c r="J247" s="378">
        <v>618407</v>
      </c>
      <c r="K247" s="378">
        <v>39553</v>
      </c>
      <c r="L247" s="378">
        <v>1276297</v>
      </c>
      <c r="M247" s="379"/>
      <c r="N247" s="379">
        <v>-162063</v>
      </c>
      <c r="O247" s="379">
        <v>78427</v>
      </c>
      <c r="P247" s="379">
        <v>-83636</v>
      </c>
    </row>
    <row r="248" spans="1:16">
      <c r="A248" s="367">
        <v>2396</v>
      </c>
      <c r="B248" s="371" t="s">
        <v>235</v>
      </c>
      <c r="C248" s="375">
        <v>900246</v>
      </c>
      <c r="D248" s="375">
        <v>4909</v>
      </c>
      <c r="E248" s="375">
        <v>176725</v>
      </c>
      <c r="F248" s="375">
        <v>174339</v>
      </c>
      <c r="G248" s="375">
        <v>355973</v>
      </c>
      <c r="H248" s="375"/>
      <c r="I248" s="375">
        <v>159860</v>
      </c>
      <c r="J248" s="375">
        <v>159878</v>
      </c>
      <c r="K248" s="375">
        <v>24074</v>
      </c>
      <c r="L248" s="375">
        <v>343812</v>
      </c>
      <c r="M248" s="376"/>
      <c r="N248" s="376">
        <v>-41898</v>
      </c>
      <c r="O248" s="376">
        <v>31301</v>
      </c>
      <c r="P248" s="376">
        <v>-10597</v>
      </c>
    </row>
    <row r="249" spans="1:16">
      <c r="A249" s="369">
        <v>3380</v>
      </c>
      <c r="B249" s="370" t="s">
        <v>236</v>
      </c>
      <c r="C249" s="378">
        <v>738168</v>
      </c>
      <c r="D249" s="378">
        <v>4025</v>
      </c>
      <c r="E249" s="378">
        <v>144908</v>
      </c>
      <c r="F249" s="378">
        <v>30789</v>
      </c>
      <c r="G249" s="378">
        <v>179722</v>
      </c>
      <c r="H249" s="378"/>
      <c r="I249" s="378">
        <v>131079</v>
      </c>
      <c r="J249" s="378">
        <v>131094</v>
      </c>
      <c r="K249" s="378">
        <v>69016</v>
      </c>
      <c r="L249" s="378">
        <v>331189</v>
      </c>
      <c r="M249" s="379"/>
      <c r="N249" s="379">
        <v>-34355</v>
      </c>
      <c r="O249" s="379">
        <v>-14597</v>
      </c>
      <c r="P249" s="379">
        <v>-48952</v>
      </c>
    </row>
    <row r="250" spans="1:16">
      <c r="A250" s="367">
        <v>2420</v>
      </c>
      <c r="B250" s="371" t="s">
        <v>237</v>
      </c>
      <c r="C250" s="375">
        <v>1116490</v>
      </c>
      <c r="D250" s="375">
        <v>6088</v>
      </c>
      <c r="E250" s="375">
        <v>219175</v>
      </c>
      <c r="F250" s="375">
        <v>176868</v>
      </c>
      <c r="G250" s="375">
        <v>402131</v>
      </c>
      <c r="H250" s="375"/>
      <c r="I250" s="375">
        <v>198259</v>
      </c>
      <c r="J250" s="375">
        <v>198281</v>
      </c>
      <c r="K250" s="375">
        <v>141545</v>
      </c>
      <c r="L250" s="375">
        <v>538085</v>
      </c>
      <c r="M250" s="376"/>
      <c r="N250" s="376">
        <v>-51963</v>
      </c>
      <c r="O250" s="376">
        <v>24788</v>
      </c>
      <c r="P250" s="376">
        <v>-27175</v>
      </c>
    </row>
    <row r="251" spans="1:16">
      <c r="A251" s="369">
        <v>2740</v>
      </c>
      <c r="B251" s="370" t="s">
        <v>238</v>
      </c>
      <c r="C251" s="378">
        <v>144862</v>
      </c>
      <c r="D251" s="378">
        <v>790</v>
      </c>
      <c r="E251" s="378">
        <v>28438</v>
      </c>
      <c r="F251" s="378">
        <v>3175</v>
      </c>
      <c r="G251" s="378">
        <v>32403</v>
      </c>
      <c r="H251" s="378"/>
      <c r="I251" s="378">
        <v>25724</v>
      </c>
      <c r="J251" s="378">
        <v>25727</v>
      </c>
      <c r="K251" s="378">
        <v>39151</v>
      </c>
      <c r="L251" s="378">
        <v>90602</v>
      </c>
      <c r="M251" s="379"/>
      <c r="N251" s="379">
        <v>-6742</v>
      </c>
      <c r="O251" s="379">
        <v>-7661</v>
      </c>
      <c r="P251" s="379">
        <v>-14403</v>
      </c>
    </row>
    <row r="252" spans="1:16">
      <c r="A252" s="367">
        <v>2346</v>
      </c>
      <c r="B252" s="371" t="s">
        <v>239</v>
      </c>
      <c r="C252" s="375">
        <v>789815</v>
      </c>
      <c r="D252" s="375">
        <v>4307</v>
      </c>
      <c r="E252" s="375">
        <v>155046</v>
      </c>
      <c r="F252" s="375">
        <v>259951</v>
      </c>
      <c r="G252" s="375">
        <v>419304</v>
      </c>
      <c r="H252" s="375"/>
      <c r="I252" s="375">
        <v>140250</v>
      </c>
      <c r="J252" s="375">
        <v>140266</v>
      </c>
      <c r="K252" s="401">
        <v>0</v>
      </c>
      <c r="L252" s="375">
        <v>280516</v>
      </c>
      <c r="M252" s="376"/>
      <c r="N252" s="376">
        <v>-36759</v>
      </c>
      <c r="O252" s="376">
        <v>86361</v>
      </c>
      <c r="P252" s="376">
        <v>49602</v>
      </c>
    </row>
    <row r="253" spans="1:16">
      <c r="A253" s="369">
        <v>21150</v>
      </c>
      <c r="B253" s="370" t="s">
        <v>240</v>
      </c>
      <c r="C253" s="378">
        <v>1791254</v>
      </c>
      <c r="D253" s="378">
        <v>9768</v>
      </c>
      <c r="E253" s="378">
        <v>351636</v>
      </c>
      <c r="F253" s="378">
        <v>363869</v>
      </c>
      <c r="G253" s="378">
        <v>725273</v>
      </c>
      <c r="H253" s="378"/>
      <c r="I253" s="378">
        <v>318079</v>
      </c>
      <c r="J253" s="378">
        <v>318114</v>
      </c>
      <c r="K253" s="378">
        <v>80394</v>
      </c>
      <c r="L253" s="378">
        <v>716587</v>
      </c>
      <c r="M253" s="379"/>
      <c r="N253" s="379">
        <v>-83367</v>
      </c>
      <c r="O253" s="379">
        <v>101126</v>
      </c>
      <c r="P253" s="379">
        <v>17759</v>
      </c>
    </row>
    <row r="254" spans="1:16">
      <c r="A254" s="367">
        <v>32098</v>
      </c>
      <c r="B254" s="371" t="s">
        <v>241</v>
      </c>
      <c r="C254" s="375">
        <v>950633</v>
      </c>
      <c r="D254" s="375">
        <v>5184</v>
      </c>
      <c r="E254" s="375">
        <v>186616</v>
      </c>
      <c r="F254" s="375">
        <v>92587</v>
      </c>
      <c r="G254" s="375">
        <v>284387</v>
      </c>
      <c r="H254" s="375"/>
      <c r="I254" s="375">
        <v>168807</v>
      </c>
      <c r="J254" s="375">
        <v>168826</v>
      </c>
      <c r="K254" s="375">
        <v>171729</v>
      </c>
      <c r="L254" s="375">
        <v>509362</v>
      </c>
      <c r="M254" s="376"/>
      <c r="N254" s="376">
        <v>-44243</v>
      </c>
      <c r="O254" s="376">
        <v>-3054</v>
      </c>
      <c r="P254" s="376">
        <v>-47297</v>
      </c>
    </row>
    <row r="255" spans="1:16">
      <c r="A255" s="369">
        <v>4520</v>
      </c>
      <c r="B255" s="370" t="s">
        <v>242</v>
      </c>
      <c r="C255" s="378">
        <v>119669</v>
      </c>
      <c r="D255" s="378">
        <v>653</v>
      </c>
      <c r="E255" s="378">
        <v>23492</v>
      </c>
      <c r="F255" s="378">
        <v>4768</v>
      </c>
      <c r="G255" s="378">
        <v>28913</v>
      </c>
      <c r="H255" s="378"/>
      <c r="I255" s="378">
        <v>21250</v>
      </c>
      <c r="J255" s="378">
        <v>21252</v>
      </c>
      <c r="K255" s="378">
        <v>2138</v>
      </c>
      <c r="L255" s="378">
        <v>44640</v>
      </c>
      <c r="M255" s="379"/>
      <c r="N255" s="379">
        <v>-5570</v>
      </c>
      <c r="O255" s="379">
        <v>929</v>
      </c>
      <c r="P255" s="379">
        <v>-4641</v>
      </c>
    </row>
    <row r="256" spans="1:16">
      <c r="A256" s="367">
        <v>9030</v>
      </c>
      <c r="B256" s="371" t="s">
        <v>243</v>
      </c>
      <c r="C256" s="375">
        <v>1228181</v>
      </c>
      <c r="D256" s="375">
        <v>6698</v>
      </c>
      <c r="E256" s="375">
        <v>241101</v>
      </c>
      <c r="F256" s="375">
        <v>19372</v>
      </c>
      <c r="G256" s="375">
        <v>267171</v>
      </c>
      <c r="H256" s="375"/>
      <c r="I256" s="375">
        <v>218092</v>
      </c>
      <c r="J256" s="375">
        <v>218116</v>
      </c>
      <c r="K256" s="375">
        <v>77340</v>
      </c>
      <c r="L256" s="375">
        <v>513548</v>
      </c>
      <c r="M256" s="376"/>
      <c r="N256" s="376">
        <v>-57161</v>
      </c>
      <c r="O256" s="376">
        <v>-14267</v>
      </c>
      <c r="P256" s="376">
        <v>-71428</v>
      </c>
    </row>
    <row r="257" spans="1:16">
      <c r="A257" s="369">
        <v>20265</v>
      </c>
      <c r="B257" s="370" t="s">
        <v>244</v>
      </c>
      <c r="C257" s="378">
        <v>1294943</v>
      </c>
      <c r="D257" s="378">
        <v>7062</v>
      </c>
      <c r="E257" s="378">
        <v>254207</v>
      </c>
      <c r="F257" s="378">
        <v>104898</v>
      </c>
      <c r="G257" s="378">
        <v>366167</v>
      </c>
      <c r="H257" s="378"/>
      <c r="I257" s="378">
        <v>229947</v>
      </c>
      <c r="J257" s="378">
        <v>229973</v>
      </c>
      <c r="K257" s="378">
        <v>8829</v>
      </c>
      <c r="L257" s="378">
        <v>468749</v>
      </c>
      <c r="M257" s="379"/>
      <c r="N257" s="379">
        <v>-60268</v>
      </c>
      <c r="O257" s="379">
        <v>21728</v>
      </c>
      <c r="P257" s="379">
        <v>-38540</v>
      </c>
    </row>
    <row r="258" spans="1:16">
      <c r="A258" s="367">
        <v>20307</v>
      </c>
      <c r="B258" s="371" t="s">
        <v>245</v>
      </c>
      <c r="C258" s="375">
        <v>974147</v>
      </c>
      <c r="D258" s="375">
        <v>5312</v>
      </c>
      <c r="E258" s="375">
        <v>191232</v>
      </c>
      <c r="F258" s="375">
        <v>211641</v>
      </c>
      <c r="G258" s="375">
        <v>408185</v>
      </c>
      <c r="H258" s="375"/>
      <c r="I258" s="375">
        <v>172982</v>
      </c>
      <c r="J258" s="375">
        <v>173002</v>
      </c>
      <c r="K258" s="375">
        <v>143732</v>
      </c>
      <c r="L258" s="375">
        <v>489716</v>
      </c>
      <c r="M258" s="376"/>
      <c r="N258" s="376">
        <v>-45338</v>
      </c>
      <c r="O258" s="376">
        <v>35540</v>
      </c>
      <c r="P258" s="376">
        <v>-9798</v>
      </c>
    </row>
    <row r="259" spans="1:16">
      <c r="A259" s="369">
        <v>3320</v>
      </c>
      <c r="B259" s="370" t="s">
        <v>246</v>
      </c>
      <c r="C259" s="378">
        <v>8048467</v>
      </c>
      <c r="D259" s="378">
        <v>43890</v>
      </c>
      <c r="E259" s="378">
        <v>1579972</v>
      </c>
      <c r="F259" s="378">
        <v>194699</v>
      </c>
      <c r="G259" s="378">
        <v>1818561</v>
      </c>
      <c r="H259" s="378"/>
      <c r="I259" s="378">
        <v>1429192</v>
      </c>
      <c r="J259" s="378">
        <v>1429353</v>
      </c>
      <c r="K259" s="378">
        <v>1312577</v>
      </c>
      <c r="L259" s="378">
        <v>4171122</v>
      </c>
      <c r="M259" s="379"/>
      <c r="N259" s="379">
        <v>-374584</v>
      </c>
      <c r="O259" s="379">
        <v>-232244</v>
      </c>
      <c r="P259" s="379">
        <v>-606828</v>
      </c>
    </row>
    <row r="260" spans="1:16">
      <c r="A260" s="367">
        <v>20415</v>
      </c>
      <c r="B260" s="371" t="s">
        <v>247</v>
      </c>
      <c r="C260" s="375">
        <v>752864</v>
      </c>
      <c r="D260" s="375">
        <v>4106</v>
      </c>
      <c r="E260" s="375">
        <v>147793</v>
      </c>
      <c r="F260" s="375">
        <v>123955</v>
      </c>
      <c r="G260" s="375">
        <v>275854</v>
      </c>
      <c r="H260" s="375"/>
      <c r="I260" s="375">
        <v>133689</v>
      </c>
      <c r="J260" s="375">
        <v>133704</v>
      </c>
      <c r="K260" s="375">
        <v>127661</v>
      </c>
      <c r="L260" s="375">
        <v>395054</v>
      </c>
      <c r="M260" s="376"/>
      <c r="N260" s="376">
        <v>-35039</v>
      </c>
      <c r="O260" s="376">
        <v>4315</v>
      </c>
      <c r="P260" s="376">
        <v>-30724</v>
      </c>
    </row>
    <row r="261" spans="1:16">
      <c r="A261" s="369">
        <v>20435</v>
      </c>
      <c r="B261" s="370" t="s">
        <v>441</v>
      </c>
      <c r="C261" s="378">
        <v>953572</v>
      </c>
      <c r="D261" s="378">
        <v>5200</v>
      </c>
      <c r="E261" s="378">
        <v>187193</v>
      </c>
      <c r="F261" s="378">
        <v>192487</v>
      </c>
      <c r="G261" s="378">
        <v>384880</v>
      </c>
      <c r="H261" s="378"/>
      <c r="I261" s="378">
        <v>169329</v>
      </c>
      <c r="J261" s="378">
        <v>169348</v>
      </c>
      <c r="K261" s="378">
        <v>154327</v>
      </c>
      <c r="L261" s="378">
        <v>493004</v>
      </c>
      <c r="M261" s="379"/>
      <c r="N261" s="379">
        <v>-44380</v>
      </c>
      <c r="O261" s="379">
        <v>12673</v>
      </c>
      <c r="P261" s="379">
        <v>-31707</v>
      </c>
    </row>
    <row r="262" spans="1:16">
      <c r="A262" s="367">
        <v>20062</v>
      </c>
      <c r="B262" s="371" t="s">
        <v>248</v>
      </c>
      <c r="C262" s="375">
        <v>12646271</v>
      </c>
      <c r="D262" s="375">
        <v>68963</v>
      </c>
      <c r="E262" s="375">
        <v>2482554</v>
      </c>
      <c r="F262" s="375">
        <v>140934</v>
      </c>
      <c r="G262" s="375">
        <v>2692451</v>
      </c>
      <c r="H262" s="375"/>
      <c r="I262" s="375">
        <v>2245639</v>
      </c>
      <c r="J262" s="375">
        <v>2245891</v>
      </c>
      <c r="K262" s="375">
        <v>283319</v>
      </c>
      <c r="L262" s="375">
        <v>4774849</v>
      </c>
      <c r="M262" s="376"/>
      <c r="N262" s="376">
        <v>-588570</v>
      </c>
      <c r="O262" s="376">
        <v>-67404</v>
      </c>
      <c r="P262" s="376">
        <v>-655974</v>
      </c>
    </row>
    <row r="263" spans="1:16">
      <c r="A263" s="369">
        <v>6020</v>
      </c>
      <c r="B263" s="370" t="s">
        <v>249</v>
      </c>
      <c r="C263" s="378">
        <v>2396737</v>
      </c>
      <c r="D263" s="378">
        <v>13070</v>
      </c>
      <c r="E263" s="378">
        <v>470497</v>
      </c>
      <c r="F263" s="378">
        <v>42379</v>
      </c>
      <c r="G263" s="378">
        <v>525946</v>
      </c>
      <c r="H263" s="378"/>
      <c r="I263" s="378">
        <v>425596</v>
      </c>
      <c r="J263" s="378">
        <v>425644</v>
      </c>
      <c r="K263" s="378">
        <v>121130</v>
      </c>
      <c r="L263" s="378">
        <v>972370</v>
      </c>
      <c r="M263" s="379"/>
      <c r="N263" s="379">
        <v>-111546</v>
      </c>
      <c r="O263" s="379">
        <v>-29895</v>
      </c>
      <c r="P263" s="379">
        <v>-141441</v>
      </c>
    </row>
    <row r="264" spans="1:16">
      <c r="A264" s="367">
        <v>2394</v>
      </c>
      <c r="B264" s="371" t="s">
        <v>250</v>
      </c>
      <c r="C264" s="375">
        <v>1263032</v>
      </c>
      <c r="D264" s="375">
        <v>6888</v>
      </c>
      <c r="E264" s="375">
        <v>247942</v>
      </c>
      <c r="F264" s="375">
        <v>332136</v>
      </c>
      <c r="G264" s="375">
        <v>586966</v>
      </c>
      <c r="H264" s="375"/>
      <c r="I264" s="375">
        <v>224281</v>
      </c>
      <c r="J264" s="375">
        <v>224306</v>
      </c>
      <c r="K264" s="401">
        <v>0</v>
      </c>
      <c r="L264" s="375">
        <v>448587</v>
      </c>
      <c r="M264" s="376"/>
      <c r="N264" s="376">
        <v>-58783</v>
      </c>
      <c r="O264" s="376">
        <v>112018</v>
      </c>
      <c r="P264" s="376">
        <v>53235</v>
      </c>
    </row>
    <row r="265" spans="1:16">
      <c r="A265" s="369">
        <v>5015</v>
      </c>
      <c r="B265" s="370" t="s">
        <v>251</v>
      </c>
      <c r="C265" s="378">
        <v>3431348</v>
      </c>
      <c r="D265" s="378">
        <v>18712</v>
      </c>
      <c r="E265" s="378">
        <v>673598</v>
      </c>
      <c r="F265" s="378">
        <v>102600</v>
      </c>
      <c r="G265" s="378">
        <v>794910</v>
      </c>
      <c r="H265" s="378"/>
      <c r="I265" s="378">
        <v>609315</v>
      </c>
      <c r="J265" s="378">
        <v>609384</v>
      </c>
      <c r="K265" s="378">
        <v>110312</v>
      </c>
      <c r="L265" s="378">
        <v>1329011</v>
      </c>
      <c r="M265" s="379"/>
      <c r="N265" s="379">
        <v>-159698</v>
      </c>
      <c r="O265" s="379">
        <v>-16795</v>
      </c>
      <c r="P265" s="379">
        <v>-176493</v>
      </c>
    </row>
    <row r="266" spans="1:16">
      <c r="A266" s="367">
        <v>29408</v>
      </c>
      <c r="B266" s="371" t="s">
        <v>252</v>
      </c>
      <c r="C266" s="375">
        <v>2152780</v>
      </c>
      <c r="D266" s="375">
        <v>11740</v>
      </c>
      <c r="E266" s="375">
        <v>422606</v>
      </c>
      <c r="F266" s="375">
        <v>233922</v>
      </c>
      <c r="G266" s="375">
        <v>668268</v>
      </c>
      <c r="H266" s="375"/>
      <c r="I266" s="375">
        <v>382276</v>
      </c>
      <c r="J266" s="375">
        <v>382319</v>
      </c>
      <c r="K266" s="401">
        <v>0</v>
      </c>
      <c r="L266" s="375">
        <v>764595</v>
      </c>
      <c r="M266" s="376"/>
      <c r="N266" s="376">
        <v>-100192</v>
      </c>
      <c r="O266" s="376">
        <v>58165</v>
      </c>
      <c r="P266" s="376">
        <v>-42027</v>
      </c>
    </row>
    <row r="267" spans="1:16">
      <c r="A267" s="369">
        <v>2413</v>
      </c>
      <c r="B267" s="370" t="s">
        <v>253</v>
      </c>
      <c r="C267" s="378">
        <v>738168</v>
      </c>
      <c r="D267" s="378">
        <v>4025</v>
      </c>
      <c r="E267" s="378">
        <v>144908</v>
      </c>
      <c r="F267" s="402">
        <v>0</v>
      </c>
      <c r="G267" s="378">
        <v>148933</v>
      </c>
      <c r="H267" s="378"/>
      <c r="I267" s="378">
        <v>131079</v>
      </c>
      <c r="J267" s="378">
        <v>131094</v>
      </c>
      <c r="K267" s="378">
        <v>138117</v>
      </c>
      <c r="L267" s="378">
        <v>400290</v>
      </c>
      <c r="M267" s="379"/>
      <c r="N267" s="379">
        <v>-34355</v>
      </c>
      <c r="O267" s="379">
        <v>-48743</v>
      </c>
      <c r="P267" s="379">
        <v>-83098</v>
      </c>
    </row>
    <row r="268" spans="1:16">
      <c r="A268" s="367">
        <v>1398</v>
      </c>
      <c r="B268" s="371" t="s">
        <v>254</v>
      </c>
      <c r="C268" s="375">
        <v>1128666</v>
      </c>
      <c r="D268" s="375">
        <v>6155</v>
      </c>
      <c r="E268" s="375">
        <v>221565</v>
      </c>
      <c r="F268" s="375">
        <v>154260</v>
      </c>
      <c r="G268" s="375">
        <v>381980</v>
      </c>
      <c r="H268" s="375"/>
      <c r="I268" s="375">
        <v>200421</v>
      </c>
      <c r="J268" s="375">
        <v>200443</v>
      </c>
      <c r="K268" s="401">
        <v>0</v>
      </c>
      <c r="L268" s="375">
        <v>400864</v>
      </c>
      <c r="M268" s="376"/>
      <c r="N268" s="376">
        <v>-52529</v>
      </c>
      <c r="O268" s="376">
        <v>38368</v>
      </c>
      <c r="P268" s="376">
        <v>-14161</v>
      </c>
    </row>
    <row r="269" spans="1:16">
      <c r="A269" s="369">
        <v>2366</v>
      </c>
      <c r="B269" s="370" t="s">
        <v>255</v>
      </c>
      <c r="C269" s="378">
        <v>1117749</v>
      </c>
      <c r="D269" s="378">
        <v>6095</v>
      </c>
      <c r="E269" s="378">
        <v>219422</v>
      </c>
      <c r="F269" s="402">
        <v>0</v>
      </c>
      <c r="G269" s="378">
        <v>225517</v>
      </c>
      <c r="H269" s="378"/>
      <c r="I269" s="378">
        <v>198482</v>
      </c>
      <c r="J269" s="378">
        <v>198505</v>
      </c>
      <c r="K269" s="378">
        <v>146036</v>
      </c>
      <c r="L269" s="378">
        <v>543023</v>
      </c>
      <c r="M269" s="379"/>
      <c r="N269" s="379">
        <v>-52021</v>
      </c>
      <c r="O269" s="379">
        <v>-38477</v>
      </c>
      <c r="P269" s="379">
        <v>-90498</v>
      </c>
    </row>
    <row r="270" spans="1:16">
      <c r="A270" s="367">
        <v>7421</v>
      </c>
      <c r="B270" s="371" t="s">
        <v>256</v>
      </c>
      <c r="C270" s="375">
        <v>872113</v>
      </c>
      <c r="D270" s="375">
        <v>4756</v>
      </c>
      <c r="E270" s="375">
        <v>171202</v>
      </c>
      <c r="F270" s="375">
        <v>75574</v>
      </c>
      <c r="G270" s="375">
        <v>251532</v>
      </c>
      <c r="H270" s="375"/>
      <c r="I270" s="375">
        <v>154864</v>
      </c>
      <c r="J270" s="375">
        <v>154881</v>
      </c>
      <c r="K270" s="375">
        <v>348203</v>
      </c>
      <c r="L270" s="375">
        <v>657948</v>
      </c>
      <c r="M270" s="376"/>
      <c r="N270" s="376">
        <v>-40589</v>
      </c>
      <c r="O270" s="376">
        <v>-65445</v>
      </c>
      <c r="P270" s="376">
        <v>-106034</v>
      </c>
    </row>
    <row r="271" spans="1:16">
      <c r="A271" s="369">
        <v>2370</v>
      </c>
      <c r="B271" s="370" t="s">
        <v>257</v>
      </c>
      <c r="C271" s="393">
        <v>1609861</v>
      </c>
      <c r="D271" s="393">
        <v>8779</v>
      </c>
      <c r="E271" s="393">
        <v>316027</v>
      </c>
      <c r="F271" s="393">
        <v>144391</v>
      </c>
      <c r="G271" s="393">
        <v>469197</v>
      </c>
      <c r="H271" s="393"/>
      <c r="I271" s="393">
        <v>285868</v>
      </c>
      <c r="J271" s="393">
        <v>285900</v>
      </c>
      <c r="K271" s="393">
        <v>104756</v>
      </c>
      <c r="L271" s="393">
        <v>676524</v>
      </c>
      <c r="M271" s="394"/>
      <c r="N271" s="394">
        <v>-74925</v>
      </c>
      <c r="O271" s="394">
        <v>-5421</v>
      </c>
      <c r="P271" s="394">
        <v>-80346</v>
      </c>
    </row>
    <row r="272" spans="1:16">
      <c r="A272" s="367">
        <v>32094</v>
      </c>
      <c r="B272" s="371" t="s">
        <v>258</v>
      </c>
      <c r="C272" s="375">
        <v>1676204</v>
      </c>
      <c r="D272" s="375">
        <v>9141</v>
      </c>
      <c r="E272" s="375">
        <v>329051</v>
      </c>
      <c r="F272" s="375">
        <v>58158</v>
      </c>
      <c r="G272" s="375">
        <v>396350</v>
      </c>
      <c r="H272" s="375"/>
      <c r="I272" s="375">
        <v>297649</v>
      </c>
      <c r="J272" s="375">
        <v>297682</v>
      </c>
      <c r="K272" s="375">
        <v>79913</v>
      </c>
      <c r="L272" s="375">
        <v>675244</v>
      </c>
      <c r="M272" s="376"/>
      <c r="N272" s="376">
        <v>-78012</v>
      </c>
      <c r="O272" s="376">
        <v>-16028</v>
      </c>
      <c r="P272" s="376">
        <v>-94040</v>
      </c>
    </row>
    <row r="273" spans="1:16">
      <c r="A273" s="369">
        <v>2790</v>
      </c>
      <c r="B273" s="370" t="s">
        <v>259</v>
      </c>
      <c r="C273" s="378">
        <v>147382</v>
      </c>
      <c r="D273" s="378">
        <v>804</v>
      </c>
      <c r="E273" s="378">
        <v>28932</v>
      </c>
      <c r="F273" s="378">
        <v>3179</v>
      </c>
      <c r="G273" s="378">
        <v>32915</v>
      </c>
      <c r="H273" s="378"/>
      <c r="I273" s="378">
        <v>26171</v>
      </c>
      <c r="J273" s="378">
        <v>26174</v>
      </c>
      <c r="K273" s="378">
        <v>74562</v>
      </c>
      <c r="L273" s="378">
        <v>126907</v>
      </c>
      <c r="M273" s="379"/>
      <c r="N273" s="379">
        <v>-6859</v>
      </c>
      <c r="O273" s="379">
        <v>-15909</v>
      </c>
      <c r="P273" s="379">
        <v>-22768</v>
      </c>
    </row>
    <row r="274" spans="1:16">
      <c r="A274" s="367">
        <v>3330</v>
      </c>
      <c r="B274" s="371" t="s">
        <v>260</v>
      </c>
      <c r="C274" s="375">
        <v>3574950</v>
      </c>
      <c r="D274" s="375">
        <v>19495</v>
      </c>
      <c r="E274" s="375">
        <v>701788</v>
      </c>
      <c r="F274" s="375">
        <v>135507</v>
      </c>
      <c r="G274" s="375">
        <v>856790</v>
      </c>
      <c r="H274" s="375"/>
      <c r="I274" s="375">
        <v>634815</v>
      </c>
      <c r="J274" s="375">
        <v>634887</v>
      </c>
      <c r="K274" s="375">
        <v>72219</v>
      </c>
      <c r="L274" s="375">
        <v>1341921</v>
      </c>
      <c r="M274" s="376"/>
      <c r="N274" s="376">
        <v>-166382</v>
      </c>
      <c r="O274" s="376">
        <v>8621</v>
      </c>
      <c r="P274" s="376">
        <v>-157761</v>
      </c>
    </row>
    <row r="275" spans="1:16">
      <c r="A275" s="369">
        <v>2080</v>
      </c>
      <c r="B275" s="370" t="s">
        <v>261</v>
      </c>
      <c r="C275" s="378">
        <v>4551616</v>
      </c>
      <c r="D275" s="378">
        <v>24821</v>
      </c>
      <c r="E275" s="378">
        <v>893515</v>
      </c>
      <c r="F275" s="378">
        <v>459419</v>
      </c>
      <c r="G275" s="378">
        <v>1377755</v>
      </c>
      <c r="H275" s="378"/>
      <c r="I275" s="378">
        <v>808245</v>
      </c>
      <c r="J275" s="378">
        <v>808336</v>
      </c>
      <c r="K275" s="402">
        <v>0</v>
      </c>
      <c r="L275" s="378">
        <v>1616581</v>
      </c>
      <c r="M275" s="379"/>
      <c r="N275" s="379">
        <v>-211837</v>
      </c>
      <c r="O275" s="379">
        <v>121913</v>
      </c>
      <c r="P275" s="379">
        <v>-89924</v>
      </c>
    </row>
    <row r="276" spans="1:16">
      <c r="A276" s="367">
        <v>4290</v>
      </c>
      <c r="B276" s="371" t="s">
        <v>262</v>
      </c>
      <c r="C276" s="375">
        <v>1429308</v>
      </c>
      <c r="D276" s="375">
        <v>7794</v>
      </c>
      <c r="E276" s="375">
        <v>280583</v>
      </c>
      <c r="F276" s="375">
        <v>218318</v>
      </c>
      <c r="G276" s="375">
        <v>506695</v>
      </c>
      <c r="H276" s="375"/>
      <c r="I276" s="375">
        <v>253807</v>
      </c>
      <c r="J276" s="375">
        <v>253835</v>
      </c>
      <c r="K276" s="375">
        <v>12829</v>
      </c>
      <c r="L276" s="375">
        <v>520471</v>
      </c>
      <c r="M276" s="376"/>
      <c r="N276" s="376">
        <v>-66521</v>
      </c>
      <c r="O276" s="376">
        <v>65317</v>
      </c>
      <c r="P276" s="376">
        <v>-1204</v>
      </c>
    </row>
    <row r="277" spans="1:16">
      <c r="A277" s="369">
        <v>2270</v>
      </c>
      <c r="B277" s="370" t="s">
        <v>263</v>
      </c>
      <c r="C277" s="378">
        <v>107072</v>
      </c>
      <c r="D277" s="378">
        <v>584</v>
      </c>
      <c r="E277" s="378">
        <v>21019</v>
      </c>
      <c r="F277" s="378">
        <v>13057</v>
      </c>
      <c r="G277" s="378">
        <v>34660</v>
      </c>
      <c r="H277" s="378"/>
      <c r="I277" s="378">
        <v>19013</v>
      </c>
      <c r="J277" s="378">
        <v>19015</v>
      </c>
      <c r="K277" s="378">
        <v>29506</v>
      </c>
      <c r="L277" s="378">
        <v>67534</v>
      </c>
      <c r="M277" s="379"/>
      <c r="N277" s="379">
        <v>-4983</v>
      </c>
      <c r="O277" s="379">
        <v>-1552</v>
      </c>
      <c r="P277" s="379">
        <v>-6535</v>
      </c>
    </row>
    <row r="278" spans="1:16">
      <c r="A278" s="367">
        <v>2300</v>
      </c>
      <c r="B278" s="371" t="s">
        <v>264</v>
      </c>
      <c r="C278" s="375">
        <v>416532</v>
      </c>
      <c r="D278" s="375">
        <v>2271</v>
      </c>
      <c r="E278" s="375">
        <v>81768</v>
      </c>
      <c r="F278" s="375">
        <v>9408</v>
      </c>
      <c r="G278" s="375">
        <v>93447</v>
      </c>
      <c r="H278" s="375"/>
      <c r="I278" s="375">
        <v>73965</v>
      </c>
      <c r="J278" s="375">
        <v>73973</v>
      </c>
      <c r="K278" s="375">
        <v>100337</v>
      </c>
      <c r="L278" s="375">
        <v>248275</v>
      </c>
      <c r="M278" s="376"/>
      <c r="N278" s="376">
        <v>-19386</v>
      </c>
      <c r="O278" s="376">
        <v>-29094</v>
      </c>
      <c r="P278" s="376">
        <v>-48480</v>
      </c>
    </row>
    <row r="279" spans="1:16">
      <c r="A279" s="369">
        <v>2720</v>
      </c>
      <c r="B279" s="370" t="s">
        <v>265</v>
      </c>
      <c r="C279" s="378">
        <v>5574890</v>
      </c>
      <c r="D279" s="378">
        <v>30401</v>
      </c>
      <c r="E279" s="378">
        <v>1094391</v>
      </c>
      <c r="F279" s="378">
        <v>37035</v>
      </c>
      <c r="G279" s="378">
        <v>1161827</v>
      </c>
      <c r="H279" s="378"/>
      <c r="I279" s="378">
        <v>989951</v>
      </c>
      <c r="J279" s="378">
        <v>990062</v>
      </c>
      <c r="K279" s="378">
        <v>477112</v>
      </c>
      <c r="L279" s="378">
        <v>2457125</v>
      </c>
      <c r="M279" s="379"/>
      <c r="N279" s="379">
        <v>-259461</v>
      </c>
      <c r="O279" s="379">
        <v>-84331</v>
      </c>
      <c r="P279" s="379">
        <v>-343792</v>
      </c>
    </row>
    <row r="280" spans="1:16">
      <c r="A280" s="367">
        <v>2750</v>
      </c>
      <c r="B280" s="371" t="s">
        <v>266</v>
      </c>
      <c r="C280" s="375">
        <v>408134</v>
      </c>
      <c r="D280" s="375">
        <v>2226</v>
      </c>
      <c r="E280" s="375">
        <v>80120</v>
      </c>
      <c r="F280" s="375">
        <v>18388</v>
      </c>
      <c r="G280" s="375">
        <v>100734</v>
      </c>
      <c r="H280" s="375"/>
      <c r="I280" s="375">
        <v>72474</v>
      </c>
      <c r="J280" s="375">
        <v>72482</v>
      </c>
      <c r="K280" s="375">
        <v>25686</v>
      </c>
      <c r="L280" s="375">
        <v>170642</v>
      </c>
      <c r="M280" s="376"/>
      <c r="N280" s="376">
        <v>-18995</v>
      </c>
      <c r="O280" s="376">
        <v>-3880</v>
      </c>
      <c r="P280" s="376">
        <v>-22875</v>
      </c>
    </row>
    <row r="281" spans="1:16">
      <c r="A281" s="369">
        <v>2770</v>
      </c>
      <c r="B281" s="370" t="s">
        <v>267</v>
      </c>
      <c r="C281" s="378">
        <v>4641893</v>
      </c>
      <c r="D281" s="378">
        <v>25313</v>
      </c>
      <c r="E281" s="378">
        <v>911237</v>
      </c>
      <c r="F281" s="378">
        <v>98144</v>
      </c>
      <c r="G281" s="378">
        <v>1034694</v>
      </c>
      <c r="H281" s="378"/>
      <c r="I281" s="378">
        <v>824276</v>
      </c>
      <c r="J281" s="378">
        <v>824368</v>
      </c>
      <c r="K281" s="378">
        <v>809940</v>
      </c>
      <c r="L281" s="378">
        <v>2458584</v>
      </c>
      <c r="M281" s="379"/>
      <c r="N281" s="379">
        <v>-216038</v>
      </c>
      <c r="O281" s="379">
        <v>-146187</v>
      </c>
      <c r="P281" s="379">
        <v>-362225</v>
      </c>
    </row>
    <row r="282" spans="1:16">
      <c r="A282" s="367">
        <v>32106</v>
      </c>
      <c r="B282" s="371" t="s">
        <v>268</v>
      </c>
      <c r="C282" s="375">
        <v>499250</v>
      </c>
      <c r="D282" s="375">
        <v>2723</v>
      </c>
      <c r="E282" s="375">
        <v>98006</v>
      </c>
      <c r="F282" s="375">
        <v>193953</v>
      </c>
      <c r="G282" s="375">
        <v>294682</v>
      </c>
      <c r="H282" s="375"/>
      <c r="I282" s="375">
        <v>88653</v>
      </c>
      <c r="J282" s="375">
        <v>88663</v>
      </c>
      <c r="K282" s="375">
        <v>103059</v>
      </c>
      <c r="L282" s="375">
        <v>280375</v>
      </c>
      <c r="M282" s="376"/>
      <c r="N282" s="376">
        <v>-23236</v>
      </c>
      <c r="O282" s="376">
        <v>40309</v>
      </c>
      <c r="P282" s="376">
        <v>17073</v>
      </c>
    </row>
    <row r="283" spans="1:16">
      <c r="A283" s="369">
        <v>4180</v>
      </c>
      <c r="B283" s="370" t="s">
        <v>269</v>
      </c>
      <c r="C283" s="378">
        <v>574411</v>
      </c>
      <c r="D283" s="378">
        <v>3132</v>
      </c>
      <c r="E283" s="378">
        <v>112761</v>
      </c>
      <c r="F283" s="378">
        <v>23308</v>
      </c>
      <c r="G283" s="378">
        <v>139201</v>
      </c>
      <c r="H283" s="378"/>
      <c r="I283" s="378">
        <v>102000</v>
      </c>
      <c r="J283" s="378">
        <v>102011</v>
      </c>
      <c r="K283" s="378">
        <v>56488</v>
      </c>
      <c r="L283" s="378">
        <v>260499</v>
      </c>
      <c r="M283" s="379"/>
      <c r="N283" s="379">
        <v>-26734</v>
      </c>
      <c r="O283" s="379">
        <v>-5160</v>
      </c>
      <c r="P283" s="379">
        <v>-31894</v>
      </c>
    </row>
    <row r="284" spans="1:16">
      <c r="A284" s="367">
        <v>21063</v>
      </c>
      <c r="B284" s="371" t="s">
        <v>270</v>
      </c>
      <c r="C284" s="375">
        <v>7717593</v>
      </c>
      <c r="D284" s="375">
        <v>42086</v>
      </c>
      <c r="E284" s="375">
        <v>1515019</v>
      </c>
      <c r="F284" s="375">
        <v>209771</v>
      </c>
      <c r="G284" s="375">
        <v>1766876</v>
      </c>
      <c r="H284" s="375"/>
      <c r="I284" s="375">
        <v>1370438</v>
      </c>
      <c r="J284" s="375">
        <v>1370592</v>
      </c>
      <c r="K284" s="375">
        <v>498594</v>
      </c>
      <c r="L284" s="375">
        <v>3239624</v>
      </c>
      <c r="M284" s="376"/>
      <c r="N284" s="376">
        <v>-359184</v>
      </c>
      <c r="O284" s="376">
        <v>-105913</v>
      </c>
      <c r="P284" s="376">
        <v>-465097</v>
      </c>
    </row>
    <row r="285" spans="1:16">
      <c r="A285" s="369">
        <v>10033</v>
      </c>
      <c r="B285" s="370" t="s">
        <v>271</v>
      </c>
      <c r="C285" s="378">
        <v>5430448</v>
      </c>
      <c r="D285" s="378">
        <v>29613</v>
      </c>
      <c r="E285" s="378">
        <v>1066036</v>
      </c>
      <c r="F285" s="402">
        <v>0</v>
      </c>
      <c r="G285" s="378">
        <v>1095649</v>
      </c>
      <c r="H285" s="378"/>
      <c r="I285" s="378">
        <v>964302</v>
      </c>
      <c r="J285" s="378">
        <v>964410</v>
      </c>
      <c r="K285" s="378">
        <v>204713</v>
      </c>
      <c r="L285" s="378">
        <v>2133425</v>
      </c>
      <c r="M285" s="379"/>
      <c r="N285" s="379">
        <v>-252738</v>
      </c>
      <c r="O285" s="379">
        <v>-48624</v>
      </c>
      <c r="P285" s="379">
        <v>-301362</v>
      </c>
    </row>
    <row r="286" spans="1:16">
      <c r="A286" s="367">
        <v>15049</v>
      </c>
      <c r="B286" s="371" t="s">
        <v>272</v>
      </c>
      <c r="C286" s="375">
        <v>5563133</v>
      </c>
      <c r="D286" s="375">
        <v>30337</v>
      </c>
      <c r="E286" s="375">
        <v>1092083</v>
      </c>
      <c r="F286" s="401">
        <v>0</v>
      </c>
      <c r="G286" s="375">
        <v>1122420</v>
      </c>
      <c r="H286" s="375"/>
      <c r="I286" s="375">
        <v>987864</v>
      </c>
      <c r="J286" s="375">
        <v>987974</v>
      </c>
      <c r="K286" s="375">
        <v>228847</v>
      </c>
      <c r="L286" s="375">
        <v>2204685</v>
      </c>
      <c r="M286" s="376"/>
      <c r="N286" s="376">
        <v>-258914</v>
      </c>
      <c r="O286" s="376">
        <v>-69986</v>
      </c>
      <c r="P286" s="376">
        <v>-328900</v>
      </c>
    </row>
    <row r="287" spans="1:16">
      <c r="A287" s="369">
        <v>1315</v>
      </c>
      <c r="B287" s="370" t="s">
        <v>273</v>
      </c>
      <c r="C287" s="378">
        <v>3031192</v>
      </c>
      <c r="D287" s="378">
        <v>16530</v>
      </c>
      <c r="E287" s="378">
        <v>595045</v>
      </c>
      <c r="F287" s="378">
        <v>748139</v>
      </c>
      <c r="G287" s="378">
        <v>1359714</v>
      </c>
      <c r="H287" s="378"/>
      <c r="I287" s="378">
        <v>538258</v>
      </c>
      <c r="J287" s="378">
        <v>538319</v>
      </c>
      <c r="K287" s="402">
        <v>0</v>
      </c>
      <c r="L287" s="378">
        <v>1076577</v>
      </c>
      <c r="M287" s="379"/>
      <c r="N287" s="379">
        <v>-141075</v>
      </c>
      <c r="O287" s="379">
        <v>188597</v>
      </c>
      <c r="P287" s="379">
        <v>47522</v>
      </c>
    </row>
    <row r="288" spans="1:16">
      <c r="A288" s="367">
        <v>3340</v>
      </c>
      <c r="B288" s="371" t="s">
        <v>274</v>
      </c>
      <c r="C288" s="375">
        <v>1337352</v>
      </c>
      <c r="D288" s="375">
        <v>7293</v>
      </c>
      <c r="E288" s="375">
        <v>262532</v>
      </c>
      <c r="F288" s="375">
        <v>25074</v>
      </c>
      <c r="G288" s="375">
        <v>294899</v>
      </c>
      <c r="H288" s="375"/>
      <c r="I288" s="375">
        <v>237478</v>
      </c>
      <c r="J288" s="375">
        <v>237505</v>
      </c>
      <c r="K288" s="375">
        <v>206423</v>
      </c>
      <c r="L288" s="375">
        <v>681406</v>
      </c>
      <c r="M288" s="376"/>
      <c r="N288" s="376">
        <v>-62242</v>
      </c>
      <c r="O288" s="376">
        <v>-39109</v>
      </c>
      <c r="P288" s="376">
        <v>-101351</v>
      </c>
    </row>
    <row r="289" spans="1:16">
      <c r="A289" s="382">
        <v>3350</v>
      </c>
      <c r="B289" s="383" t="s">
        <v>275</v>
      </c>
      <c r="C289" s="384">
        <v>8669065</v>
      </c>
      <c r="D289" s="384">
        <v>47274</v>
      </c>
      <c r="E289" s="384">
        <v>1701800</v>
      </c>
      <c r="F289" s="384">
        <v>72747</v>
      </c>
      <c r="G289" s="384">
        <v>1821821</v>
      </c>
      <c r="H289" s="384"/>
      <c r="I289" s="384">
        <v>1539394</v>
      </c>
      <c r="J289" s="384">
        <v>1539567</v>
      </c>
      <c r="K289" s="384">
        <v>930511</v>
      </c>
      <c r="L289" s="384">
        <v>4009472</v>
      </c>
      <c r="M289" s="385"/>
      <c r="N289" s="385">
        <v>-403467</v>
      </c>
      <c r="O289" s="385">
        <v>-220512</v>
      </c>
      <c r="P289" s="385">
        <v>-623979</v>
      </c>
    </row>
    <row r="290" spans="1:16">
      <c r="A290" s="367">
        <v>24073</v>
      </c>
      <c r="B290" s="371" t="s">
        <v>276</v>
      </c>
      <c r="C290" s="375">
        <v>941395</v>
      </c>
      <c r="D290" s="375">
        <v>5134</v>
      </c>
      <c r="E290" s="375">
        <v>184803</v>
      </c>
      <c r="F290" s="375">
        <v>39331</v>
      </c>
      <c r="G290" s="375">
        <v>229268</v>
      </c>
      <c r="H290" s="375"/>
      <c r="I290" s="375">
        <v>167167</v>
      </c>
      <c r="J290" s="375">
        <v>167185</v>
      </c>
      <c r="K290" s="375">
        <v>49468</v>
      </c>
      <c r="L290" s="375">
        <v>383820</v>
      </c>
      <c r="M290" s="376"/>
      <c r="N290" s="376">
        <v>-43813</v>
      </c>
      <c r="O290" s="376">
        <v>-7887</v>
      </c>
      <c r="P290" s="376">
        <v>-51700</v>
      </c>
    </row>
    <row r="291" spans="1:16">
      <c r="A291" s="369">
        <v>2100</v>
      </c>
      <c r="B291" s="370" t="s">
        <v>277</v>
      </c>
      <c r="C291" s="378">
        <v>1246236</v>
      </c>
      <c r="D291" s="378">
        <v>6796</v>
      </c>
      <c r="E291" s="378">
        <v>244645</v>
      </c>
      <c r="F291" s="378">
        <v>62639</v>
      </c>
      <c r="G291" s="378">
        <v>314080</v>
      </c>
      <c r="H291" s="378"/>
      <c r="I291" s="378">
        <v>221298</v>
      </c>
      <c r="J291" s="378">
        <v>221323</v>
      </c>
      <c r="K291" s="378">
        <v>46616</v>
      </c>
      <c r="L291" s="378">
        <v>489237</v>
      </c>
      <c r="M291" s="379"/>
      <c r="N291" s="379">
        <v>-58001</v>
      </c>
      <c r="O291" s="379">
        <v>4230</v>
      </c>
      <c r="P291" s="379">
        <v>-53771</v>
      </c>
    </row>
    <row r="292" spans="1:16">
      <c r="A292" s="367">
        <v>2130</v>
      </c>
      <c r="B292" s="371" t="s">
        <v>278</v>
      </c>
      <c r="C292" s="375">
        <v>385040</v>
      </c>
      <c r="D292" s="375">
        <v>2100</v>
      </c>
      <c r="E292" s="375">
        <v>75586</v>
      </c>
      <c r="F292" s="375">
        <v>40210</v>
      </c>
      <c r="G292" s="375">
        <v>117896</v>
      </c>
      <c r="H292" s="375"/>
      <c r="I292" s="375">
        <v>68373</v>
      </c>
      <c r="J292" s="375">
        <v>68380</v>
      </c>
      <c r="K292" s="375">
        <v>76644</v>
      </c>
      <c r="L292" s="375">
        <v>213397</v>
      </c>
      <c r="M292" s="376"/>
      <c r="N292" s="376">
        <v>-17920</v>
      </c>
      <c r="O292" s="376">
        <v>-3871</v>
      </c>
      <c r="P292" s="376">
        <v>-21791</v>
      </c>
    </row>
    <row r="293" spans="1:16">
      <c r="A293" s="369">
        <v>32099</v>
      </c>
      <c r="B293" s="370" t="s">
        <v>279</v>
      </c>
      <c r="C293" s="378">
        <v>389659</v>
      </c>
      <c r="D293" s="378">
        <v>2125</v>
      </c>
      <c r="E293" s="378">
        <v>76493</v>
      </c>
      <c r="F293" s="402">
        <v>0</v>
      </c>
      <c r="G293" s="378">
        <v>78618</v>
      </c>
      <c r="H293" s="378"/>
      <c r="I293" s="378">
        <v>69193</v>
      </c>
      <c r="J293" s="378">
        <v>69201</v>
      </c>
      <c r="K293" s="378">
        <v>112516</v>
      </c>
      <c r="L293" s="378">
        <v>250910</v>
      </c>
      <c r="M293" s="379"/>
      <c r="N293" s="379">
        <v>-18135</v>
      </c>
      <c r="O293" s="379">
        <v>-25743</v>
      </c>
      <c r="P293" s="379">
        <v>-43878</v>
      </c>
    </row>
    <row r="294" spans="1:16">
      <c r="A294" s="367">
        <v>32100</v>
      </c>
      <c r="B294" s="371" t="s">
        <v>280</v>
      </c>
      <c r="C294" s="375">
        <v>829284</v>
      </c>
      <c r="D294" s="375">
        <v>4522</v>
      </c>
      <c r="E294" s="375">
        <v>162794</v>
      </c>
      <c r="F294" s="375">
        <v>79463</v>
      </c>
      <c r="G294" s="375">
        <v>246779</v>
      </c>
      <c r="H294" s="375"/>
      <c r="I294" s="375">
        <v>147259</v>
      </c>
      <c r="J294" s="375">
        <v>147275</v>
      </c>
      <c r="K294" s="375">
        <v>80394</v>
      </c>
      <c r="L294" s="375">
        <v>374928</v>
      </c>
      <c r="M294" s="376"/>
      <c r="N294" s="376">
        <v>-38596</v>
      </c>
      <c r="O294" s="376">
        <v>12054</v>
      </c>
      <c r="P294" s="376">
        <v>-26542</v>
      </c>
    </row>
    <row r="295" spans="1:16">
      <c r="A295" s="369">
        <v>32101</v>
      </c>
      <c r="B295" s="370" t="s">
        <v>281</v>
      </c>
      <c r="C295" s="378">
        <v>278807</v>
      </c>
      <c r="D295" s="378">
        <v>1520</v>
      </c>
      <c r="E295" s="378">
        <v>54732</v>
      </c>
      <c r="F295" s="378">
        <v>19777</v>
      </c>
      <c r="G295" s="378">
        <v>76029</v>
      </c>
      <c r="H295" s="378"/>
      <c r="I295" s="378">
        <v>49509</v>
      </c>
      <c r="J295" s="378">
        <v>49514</v>
      </c>
      <c r="K295" s="378">
        <v>20390</v>
      </c>
      <c r="L295" s="378">
        <v>119413</v>
      </c>
      <c r="M295" s="379"/>
      <c r="N295" s="379">
        <v>-12976</v>
      </c>
      <c r="O295" s="379">
        <v>-1707</v>
      </c>
      <c r="P295" s="379">
        <v>-14683</v>
      </c>
    </row>
    <row r="296" spans="1:16">
      <c r="A296" s="367">
        <v>32102</v>
      </c>
      <c r="B296" s="371" t="s">
        <v>282</v>
      </c>
      <c r="C296" s="375">
        <v>507228</v>
      </c>
      <c r="D296" s="375">
        <v>2766</v>
      </c>
      <c r="E296" s="375">
        <v>99573</v>
      </c>
      <c r="F296" s="375">
        <v>28252</v>
      </c>
      <c r="G296" s="375">
        <v>130591</v>
      </c>
      <c r="H296" s="375"/>
      <c r="I296" s="375">
        <v>90070</v>
      </c>
      <c r="J296" s="375">
        <v>90080</v>
      </c>
      <c r="K296" s="375">
        <v>56887</v>
      </c>
      <c r="L296" s="375">
        <v>237037</v>
      </c>
      <c r="M296" s="376"/>
      <c r="N296" s="376">
        <v>-23607</v>
      </c>
      <c r="O296" s="376">
        <v>-10371</v>
      </c>
      <c r="P296" s="376">
        <v>-33978</v>
      </c>
    </row>
    <row r="297" spans="1:16">
      <c r="A297" s="369">
        <v>2880</v>
      </c>
      <c r="B297" s="370" t="s">
        <v>283</v>
      </c>
      <c r="C297" s="378">
        <v>150321</v>
      </c>
      <c r="D297" s="378">
        <v>820</v>
      </c>
      <c r="E297" s="378">
        <v>29509</v>
      </c>
      <c r="F297" s="378">
        <v>14550</v>
      </c>
      <c r="G297" s="378">
        <v>44879</v>
      </c>
      <c r="H297" s="378"/>
      <c r="I297" s="378">
        <v>26693</v>
      </c>
      <c r="J297" s="378">
        <v>26696</v>
      </c>
      <c r="K297" s="378">
        <v>19219</v>
      </c>
      <c r="L297" s="378">
        <v>72608</v>
      </c>
      <c r="M297" s="379"/>
      <c r="N297" s="379">
        <v>-6996</v>
      </c>
      <c r="O297" s="379">
        <v>132</v>
      </c>
      <c r="P297" s="379">
        <v>-6864</v>
      </c>
    </row>
    <row r="298" spans="1:16">
      <c r="A298" s="367">
        <v>2490</v>
      </c>
      <c r="B298" s="371" t="s">
        <v>284</v>
      </c>
      <c r="C298" s="375">
        <v>1172335</v>
      </c>
      <c r="D298" s="375">
        <v>6393</v>
      </c>
      <c r="E298" s="375">
        <v>230138</v>
      </c>
      <c r="F298" s="375">
        <v>67881</v>
      </c>
      <c r="G298" s="375">
        <v>304412</v>
      </c>
      <c r="H298" s="375"/>
      <c r="I298" s="375">
        <v>208175</v>
      </c>
      <c r="J298" s="375">
        <v>208199</v>
      </c>
      <c r="K298" s="375">
        <v>194571</v>
      </c>
      <c r="L298" s="375">
        <v>610945</v>
      </c>
      <c r="M298" s="376"/>
      <c r="N298" s="376">
        <v>-54562</v>
      </c>
      <c r="O298" s="376">
        <v>-19463</v>
      </c>
      <c r="P298" s="376">
        <v>-74025</v>
      </c>
    </row>
    <row r="299" spans="1:16">
      <c r="A299" s="369">
        <v>2530</v>
      </c>
      <c r="B299" s="370" t="s">
        <v>285</v>
      </c>
      <c r="C299" s="378">
        <v>299802</v>
      </c>
      <c r="D299" s="378">
        <v>1635</v>
      </c>
      <c r="E299" s="378">
        <v>58853</v>
      </c>
      <c r="F299" s="378">
        <v>48381</v>
      </c>
      <c r="G299" s="378">
        <v>108869</v>
      </c>
      <c r="H299" s="378"/>
      <c r="I299" s="378">
        <v>53237</v>
      </c>
      <c r="J299" s="378">
        <v>53243</v>
      </c>
      <c r="K299" s="378">
        <v>41453</v>
      </c>
      <c r="L299" s="378">
        <v>147933</v>
      </c>
      <c r="M299" s="379"/>
      <c r="N299" s="379">
        <v>-13953</v>
      </c>
      <c r="O299" s="379">
        <v>3687</v>
      </c>
      <c r="P299" s="379">
        <v>-10266</v>
      </c>
    </row>
    <row r="300" spans="1:16">
      <c r="A300" s="367">
        <v>2560</v>
      </c>
      <c r="B300" s="371" t="s">
        <v>286</v>
      </c>
      <c r="C300" s="375">
        <v>472797</v>
      </c>
      <c r="D300" s="375">
        <v>2578</v>
      </c>
      <c r="E300" s="375">
        <v>92813</v>
      </c>
      <c r="F300" s="375">
        <v>55091</v>
      </c>
      <c r="G300" s="375">
        <v>150482</v>
      </c>
      <c r="H300" s="375"/>
      <c r="I300" s="375">
        <v>83956</v>
      </c>
      <c r="J300" s="375">
        <v>83966</v>
      </c>
      <c r="K300" s="375">
        <v>72450</v>
      </c>
      <c r="L300" s="375">
        <v>240372</v>
      </c>
      <c r="M300" s="376"/>
      <c r="N300" s="376">
        <v>-22004</v>
      </c>
      <c r="O300" s="376">
        <v>-5150</v>
      </c>
      <c r="P300" s="376">
        <v>-27154</v>
      </c>
    </row>
    <row r="301" spans="1:16">
      <c r="A301" s="369">
        <v>2610</v>
      </c>
      <c r="B301" s="370" t="s">
        <v>287</v>
      </c>
      <c r="C301" s="378">
        <v>141503</v>
      </c>
      <c r="D301" s="378">
        <v>772</v>
      </c>
      <c r="E301" s="378">
        <v>27778</v>
      </c>
      <c r="F301" s="378">
        <v>14032</v>
      </c>
      <c r="G301" s="378">
        <v>42582</v>
      </c>
      <c r="H301" s="378"/>
      <c r="I301" s="378">
        <v>25127</v>
      </c>
      <c r="J301" s="378">
        <v>25130</v>
      </c>
      <c r="K301" s="378">
        <v>17532</v>
      </c>
      <c r="L301" s="378">
        <v>67789</v>
      </c>
      <c r="M301" s="379"/>
      <c r="N301" s="379">
        <v>-6586</v>
      </c>
      <c r="O301" s="379">
        <v>849</v>
      </c>
      <c r="P301" s="379">
        <v>-5737</v>
      </c>
    </row>
    <row r="302" spans="1:16">
      <c r="A302" s="367">
        <v>2800</v>
      </c>
      <c r="B302" s="371" t="s">
        <v>288</v>
      </c>
      <c r="C302" s="375">
        <v>351868</v>
      </c>
      <c r="D302" s="375">
        <v>1919</v>
      </c>
      <c r="E302" s="375">
        <v>69074</v>
      </c>
      <c r="F302" s="375">
        <v>114576</v>
      </c>
      <c r="G302" s="375">
        <v>185569</v>
      </c>
      <c r="H302" s="375"/>
      <c r="I302" s="375">
        <v>62482</v>
      </c>
      <c r="J302" s="375">
        <v>62489</v>
      </c>
      <c r="K302" s="375">
        <v>9888</v>
      </c>
      <c r="L302" s="375">
        <v>134859</v>
      </c>
      <c r="M302" s="376"/>
      <c r="N302" s="376">
        <v>-16376</v>
      </c>
      <c r="O302" s="376">
        <v>26779</v>
      </c>
      <c r="P302" s="376">
        <v>10403</v>
      </c>
    </row>
    <row r="303" spans="1:16">
      <c r="A303" s="369">
        <v>20317</v>
      </c>
      <c r="B303" s="370" t="s">
        <v>289</v>
      </c>
      <c r="C303" s="378">
        <v>767140</v>
      </c>
      <c r="D303" s="378">
        <v>4183</v>
      </c>
      <c r="E303" s="378">
        <v>150595</v>
      </c>
      <c r="F303" s="378">
        <v>140277</v>
      </c>
      <c r="G303" s="378">
        <v>295055</v>
      </c>
      <c r="H303" s="378"/>
      <c r="I303" s="378">
        <v>136224</v>
      </c>
      <c r="J303" s="378">
        <v>136239</v>
      </c>
      <c r="K303" s="378">
        <v>5819</v>
      </c>
      <c r="L303" s="378">
        <v>278282</v>
      </c>
      <c r="M303" s="379"/>
      <c r="N303" s="379">
        <v>-35703</v>
      </c>
      <c r="O303" s="379">
        <v>27072</v>
      </c>
      <c r="P303" s="379">
        <v>-8631</v>
      </c>
    </row>
    <row r="304" spans="1:16">
      <c r="A304" s="367">
        <v>30090</v>
      </c>
      <c r="B304" s="371" t="s">
        <v>290</v>
      </c>
      <c r="C304" s="375">
        <v>1187451</v>
      </c>
      <c r="D304" s="375">
        <v>6475</v>
      </c>
      <c r="E304" s="375">
        <v>233105</v>
      </c>
      <c r="F304" s="375">
        <v>86990</v>
      </c>
      <c r="G304" s="375">
        <v>326570</v>
      </c>
      <c r="H304" s="375"/>
      <c r="I304" s="375">
        <v>210860</v>
      </c>
      <c r="J304" s="375">
        <v>210883</v>
      </c>
      <c r="K304" s="375">
        <v>91113</v>
      </c>
      <c r="L304" s="375">
        <v>512856</v>
      </c>
      <c r="M304" s="376"/>
      <c r="N304" s="376">
        <v>-55265</v>
      </c>
      <c r="O304" s="376">
        <v>-7034</v>
      </c>
      <c r="P304" s="376">
        <v>-62299</v>
      </c>
    </row>
    <row r="305" spans="1:16">
      <c r="A305" s="369">
        <v>29330</v>
      </c>
      <c r="B305" s="370" t="s">
        <v>291</v>
      </c>
      <c r="C305" s="378">
        <v>530322</v>
      </c>
      <c r="D305" s="378">
        <v>2892</v>
      </c>
      <c r="E305" s="378">
        <v>104106</v>
      </c>
      <c r="F305" s="378">
        <v>43408</v>
      </c>
      <c r="G305" s="378">
        <v>150406</v>
      </c>
      <c r="H305" s="378"/>
      <c r="I305" s="378">
        <v>94171</v>
      </c>
      <c r="J305" s="378">
        <v>94182</v>
      </c>
      <c r="K305" s="378">
        <v>8125</v>
      </c>
      <c r="L305" s="378">
        <v>196478</v>
      </c>
      <c r="M305" s="379"/>
      <c r="N305" s="379">
        <v>-24682</v>
      </c>
      <c r="O305" s="379">
        <v>12555</v>
      </c>
      <c r="P305" s="379">
        <v>-12127</v>
      </c>
    </row>
    <row r="306" spans="1:16">
      <c r="A306" s="367">
        <v>12038</v>
      </c>
      <c r="B306" s="371" t="s">
        <v>292</v>
      </c>
      <c r="C306" s="375">
        <v>9784715</v>
      </c>
      <c r="D306" s="375">
        <v>53358</v>
      </c>
      <c r="E306" s="375">
        <v>1920810</v>
      </c>
      <c r="F306" s="375">
        <v>769251</v>
      </c>
      <c r="G306" s="375">
        <v>2743419</v>
      </c>
      <c r="H306" s="375"/>
      <c r="I306" s="375">
        <v>1737503</v>
      </c>
      <c r="J306" s="375">
        <v>1737698</v>
      </c>
      <c r="K306" s="401">
        <v>0</v>
      </c>
      <c r="L306" s="375">
        <v>3475201</v>
      </c>
      <c r="M306" s="376"/>
      <c r="N306" s="376">
        <v>-455390</v>
      </c>
      <c r="O306" s="376">
        <v>184172</v>
      </c>
      <c r="P306" s="376">
        <v>-271218</v>
      </c>
    </row>
    <row r="307" spans="1:16">
      <c r="A307" s="369">
        <v>8099</v>
      </c>
      <c r="B307" s="370" t="s">
        <v>293</v>
      </c>
      <c r="C307" s="378">
        <v>16180912</v>
      </c>
      <c r="D307" s="378">
        <v>88238</v>
      </c>
      <c r="E307" s="378">
        <v>3176429</v>
      </c>
      <c r="F307" s="402">
        <v>0</v>
      </c>
      <c r="G307" s="378">
        <v>3264667</v>
      </c>
      <c r="H307" s="378"/>
      <c r="I307" s="378">
        <v>2873297</v>
      </c>
      <c r="J307" s="378">
        <v>2873619</v>
      </c>
      <c r="K307" s="378">
        <v>1779377</v>
      </c>
      <c r="L307" s="378">
        <v>7526293</v>
      </c>
      <c r="M307" s="379"/>
      <c r="N307" s="379">
        <v>-753075</v>
      </c>
      <c r="O307" s="379">
        <v>-511713</v>
      </c>
      <c r="P307" s="379">
        <v>-1264788</v>
      </c>
    </row>
    <row r="308" spans="1:16">
      <c r="A308" s="367">
        <v>2417</v>
      </c>
      <c r="B308" s="371" t="s">
        <v>294</v>
      </c>
      <c r="C308" s="375">
        <v>323736</v>
      </c>
      <c r="D308" s="375">
        <v>1765</v>
      </c>
      <c r="E308" s="375">
        <v>63552</v>
      </c>
      <c r="F308" s="375">
        <v>33193</v>
      </c>
      <c r="G308" s="375">
        <v>98510</v>
      </c>
      <c r="H308" s="375"/>
      <c r="I308" s="375">
        <v>57487</v>
      </c>
      <c r="J308" s="375">
        <v>57493</v>
      </c>
      <c r="K308" s="375">
        <v>10263</v>
      </c>
      <c r="L308" s="375">
        <v>125243</v>
      </c>
      <c r="M308" s="376"/>
      <c r="N308" s="375">
        <v>-15067</v>
      </c>
      <c r="O308" s="376">
        <v>7255</v>
      </c>
      <c r="P308" s="376">
        <v>-7812</v>
      </c>
    </row>
    <row r="309" spans="1:16">
      <c r="A309" s="369">
        <v>13142</v>
      </c>
      <c r="B309" s="370" t="s">
        <v>295</v>
      </c>
      <c r="C309" s="378">
        <v>10049247</v>
      </c>
      <c r="D309" s="378">
        <v>54800</v>
      </c>
      <c r="E309" s="378">
        <v>1972739</v>
      </c>
      <c r="F309" s="378">
        <v>278620</v>
      </c>
      <c r="G309" s="378">
        <v>2306159</v>
      </c>
      <c r="H309" s="378"/>
      <c r="I309" s="378">
        <v>1784477</v>
      </c>
      <c r="J309" s="378">
        <v>1784677</v>
      </c>
      <c r="K309" s="378">
        <v>231734</v>
      </c>
      <c r="L309" s="378">
        <v>3800888</v>
      </c>
      <c r="M309" s="379"/>
      <c r="N309" s="378">
        <v>-467702</v>
      </c>
      <c r="O309" s="379">
        <v>-18389</v>
      </c>
      <c r="P309" s="379">
        <v>-486091</v>
      </c>
    </row>
    <row r="310" spans="1:16">
      <c r="A310" s="367">
        <v>2403</v>
      </c>
      <c r="B310" s="371" t="s">
        <v>566</v>
      </c>
      <c r="C310" s="401">
        <v>0</v>
      </c>
      <c r="D310" s="401">
        <v>0</v>
      </c>
      <c r="E310" s="401">
        <v>0</v>
      </c>
      <c r="F310" s="375">
        <v>200255</v>
      </c>
      <c r="G310" s="375">
        <v>200255</v>
      </c>
      <c r="H310" s="375"/>
      <c r="I310" s="401">
        <v>0</v>
      </c>
      <c r="J310" s="401">
        <v>0</v>
      </c>
      <c r="K310" s="375">
        <v>267334</v>
      </c>
      <c r="L310" s="375">
        <v>267334</v>
      </c>
      <c r="M310" s="376"/>
      <c r="N310" s="401">
        <v>0</v>
      </c>
      <c r="O310" s="376">
        <v>179</v>
      </c>
      <c r="P310" s="376">
        <v>179</v>
      </c>
    </row>
    <row r="311" spans="1:16">
      <c r="A311" s="369">
        <v>16358</v>
      </c>
      <c r="B311" s="370" t="s">
        <v>567</v>
      </c>
      <c r="C311" s="402">
        <v>0</v>
      </c>
      <c r="D311" s="402">
        <v>0</v>
      </c>
      <c r="E311" s="402">
        <v>0</v>
      </c>
      <c r="F311" s="378">
        <v>3968</v>
      </c>
      <c r="G311" s="378">
        <v>3968</v>
      </c>
      <c r="H311" s="378"/>
      <c r="I311" s="402">
        <v>0</v>
      </c>
      <c r="J311" s="402">
        <v>0</v>
      </c>
      <c r="K311" s="378">
        <v>688642</v>
      </c>
      <c r="L311" s="378">
        <v>688642</v>
      </c>
      <c r="M311" s="379"/>
      <c r="N311" s="402">
        <v>0</v>
      </c>
      <c r="O311" s="379">
        <v>-187729</v>
      </c>
      <c r="P311" s="379">
        <v>-187729</v>
      </c>
    </row>
    <row r="312" spans="1:16">
      <c r="A312" s="367">
        <v>2357</v>
      </c>
      <c r="B312" s="371" t="s">
        <v>568</v>
      </c>
      <c r="C312" s="401">
        <v>0</v>
      </c>
      <c r="D312" s="401">
        <v>0</v>
      </c>
      <c r="E312" s="401">
        <v>0</v>
      </c>
      <c r="F312" s="401">
        <v>0</v>
      </c>
      <c r="G312" s="401">
        <v>0</v>
      </c>
      <c r="H312" s="375"/>
      <c r="I312" s="401">
        <v>0</v>
      </c>
      <c r="J312" s="401">
        <v>0</v>
      </c>
      <c r="K312" s="375">
        <v>356197</v>
      </c>
      <c r="L312" s="375">
        <v>356197</v>
      </c>
      <c r="M312" s="376"/>
      <c r="N312" s="401">
        <v>0</v>
      </c>
      <c r="O312" s="376">
        <v>-101126</v>
      </c>
      <c r="P312" s="376">
        <v>-101126</v>
      </c>
    </row>
    <row r="313" spans="1:16">
      <c r="A313" s="369">
        <v>16357</v>
      </c>
      <c r="B313" s="370" t="s">
        <v>569</v>
      </c>
      <c r="C313" s="402">
        <v>0</v>
      </c>
      <c r="D313" s="402">
        <v>0</v>
      </c>
      <c r="E313" s="402">
        <v>0</v>
      </c>
      <c r="F313" s="402">
        <v>0</v>
      </c>
      <c r="G313" s="402">
        <v>0</v>
      </c>
      <c r="H313" s="378"/>
      <c r="I313" s="402">
        <v>0</v>
      </c>
      <c r="J313" s="402">
        <v>0</v>
      </c>
      <c r="K313" s="378">
        <v>589737</v>
      </c>
      <c r="L313" s="378">
        <v>589737</v>
      </c>
      <c r="M313" s="379"/>
      <c r="N313" s="402">
        <v>0</v>
      </c>
      <c r="O313" s="379">
        <v>-177304</v>
      </c>
      <c r="P313" s="379">
        <v>-177304</v>
      </c>
    </row>
    <row r="314" spans="1:16">
      <c r="A314" s="367">
        <v>7339</v>
      </c>
      <c r="B314" s="371" t="s">
        <v>570</v>
      </c>
      <c r="C314" s="401">
        <v>0</v>
      </c>
      <c r="D314" s="401">
        <v>0</v>
      </c>
      <c r="E314" s="401">
        <v>0</v>
      </c>
      <c r="F314" s="401">
        <v>0</v>
      </c>
      <c r="G314" s="401">
        <v>0</v>
      </c>
      <c r="H314" s="375"/>
      <c r="I314" s="401">
        <v>0</v>
      </c>
      <c r="J314" s="401">
        <v>0</v>
      </c>
      <c r="K314" s="375">
        <v>451741</v>
      </c>
      <c r="L314" s="375">
        <v>451741</v>
      </c>
      <c r="M314" s="376"/>
      <c r="N314" s="401">
        <v>0</v>
      </c>
      <c r="O314" s="376">
        <v>-126242</v>
      </c>
      <c r="P314" s="376">
        <v>-126242</v>
      </c>
    </row>
    <row r="315" spans="1:16">
      <c r="A315" s="369">
        <v>2344</v>
      </c>
      <c r="B315" s="370" t="s">
        <v>571</v>
      </c>
      <c r="C315" s="402">
        <v>0</v>
      </c>
      <c r="D315" s="402">
        <v>0</v>
      </c>
      <c r="E315" s="402">
        <v>0</v>
      </c>
      <c r="F315" s="402">
        <v>0</v>
      </c>
      <c r="G315" s="402">
        <v>0</v>
      </c>
      <c r="H315" s="378"/>
      <c r="I315" s="402">
        <v>0</v>
      </c>
      <c r="J315" s="402">
        <v>0</v>
      </c>
      <c r="K315" s="378">
        <v>732265</v>
      </c>
      <c r="L315" s="378">
        <v>732265</v>
      </c>
      <c r="M315" s="379"/>
      <c r="N315" s="402">
        <v>0</v>
      </c>
      <c r="O315" s="379">
        <v>-207195</v>
      </c>
      <c r="P315" s="379">
        <v>-207195</v>
      </c>
    </row>
    <row r="316" spans="1:16">
      <c r="A316" s="367">
        <v>2418</v>
      </c>
      <c r="B316" s="371" t="s">
        <v>420</v>
      </c>
      <c r="C316" s="401">
        <v>0</v>
      </c>
      <c r="D316" s="401">
        <v>0</v>
      </c>
      <c r="E316" s="401">
        <v>0</v>
      </c>
      <c r="F316" s="401">
        <v>0</v>
      </c>
      <c r="G316" s="401">
        <v>0</v>
      </c>
      <c r="H316" s="375"/>
      <c r="I316" s="401">
        <v>0</v>
      </c>
      <c r="J316" s="401">
        <v>0</v>
      </c>
      <c r="K316" s="375">
        <v>343900</v>
      </c>
      <c r="L316" s="375">
        <v>343900</v>
      </c>
      <c r="M316" s="376"/>
      <c r="N316" s="401">
        <v>0</v>
      </c>
      <c r="O316" s="376">
        <v>-126433</v>
      </c>
      <c r="P316" s="376">
        <v>-126433</v>
      </c>
    </row>
    <row r="317" spans="1:16">
      <c r="A317" s="369">
        <v>2345</v>
      </c>
      <c r="B317" s="370" t="s">
        <v>421</v>
      </c>
      <c r="C317" s="402">
        <v>0</v>
      </c>
      <c r="D317" s="402">
        <v>0</v>
      </c>
      <c r="E317" s="402">
        <v>0</v>
      </c>
      <c r="F317" s="402">
        <v>0</v>
      </c>
      <c r="G317" s="402">
        <v>0</v>
      </c>
      <c r="H317" s="378"/>
      <c r="I317" s="402">
        <v>0</v>
      </c>
      <c r="J317" s="402">
        <v>0</v>
      </c>
      <c r="K317" s="378">
        <v>295488</v>
      </c>
      <c r="L317" s="378">
        <v>295488</v>
      </c>
      <c r="M317" s="379"/>
      <c r="N317" s="402">
        <v>0</v>
      </c>
      <c r="O317" s="379">
        <v>-108636</v>
      </c>
      <c r="P317" s="379">
        <v>-108636</v>
      </c>
    </row>
    <row r="318" spans="1:16">
      <c r="A318" s="397">
        <v>13430</v>
      </c>
      <c r="B318" s="398" t="s">
        <v>422</v>
      </c>
      <c r="C318" s="403">
        <v>0</v>
      </c>
      <c r="D318" s="403">
        <v>0</v>
      </c>
      <c r="E318" s="403">
        <v>0</v>
      </c>
      <c r="F318" s="403">
        <v>0</v>
      </c>
      <c r="G318" s="403">
        <v>0</v>
      </c>
      <c r="H318" s="399"/>
      <c r="I318" s="403">
        <v>0</v>
      </c>
      <c r="J318" s="403">
        <v>0</v>
      </c>
      <c r="K318" s="399">
        <v>513202</v>
      </c>
      <c r="L318" s="399">
        <v>513202</v>
      </c>
      <c r="M318" s="400"/>
      <c r="N318" s="403">
        <v>0</v>
      </c>
      <c r="O318" s="400">
        <v>-188678</v>
      </c>
      <c r="P318" s="400">
        <v>-188678</v>
      </c>
    </row>
    <row r="319" spans="1:16">
      <c r="A319" s="372"/>
      <c r="B319" s="362"/>
      <c r="C319" s="363"/>
      <c r="D319" s="363"/>
      <c r="E319" s="363"/>
      <c r="F319" s="363"/>
      <c r="G319" s="363"/>
      <c r="H319" s="363"/>
      <c r="I319" s="363"/>
      <c r="J319" s="363"/>
      <c r="K319" s="363"/>
      <c r="L319" s="363"/>
      <c r="M319" s="362"/>
      <c r="N319" s="362"/>
      <c r="O319" s="362"/>
      <c r="P319" s="362"/>
    </row>
    <row r="320" spans="1:16" ht="15.75" thickBot="1">
      <c r="A320" s="373"/>
      <c r="B320" s="374"/>
      <c r="C320" s="377">
        <v>4198908018</v>
      </c>
      <c r="D320" s="377">
        <v>22897448</v>
      </c>
      <c r="E320" s="377">
        <v>824275701</v>
      </c>
      <c r="F320" s="377">
        <v>178817992</v>
      </c>
      <c r="G320" s="391">
        <v>1025991141</v>
      </c>
      <c r="H320" s="377"/>
      <c r="I320" s="377">
        <v>745613637</v>
      </c>
      <c r="J320" s="377">
        <v>745697332</v>
      </c>
      <c r="K320" s="377">
        <v>178817992</v>
      </c>
      <c r="L320" s="377">
        <v>1670128961</v>
      </c>
      <c r="M320" s="377"/>
      <c r="N320" s="377">
        <v>-195421290</v>
      </c>
      <c r="O320" s="377">
        <v>0</v>
      </c>
      <c r="P320" s="377">
        <v>-195421290</v>
      </c>
    </row>
    <row r="321" spans="1:16" ht="15.75" thickTop="1">
      <c r="A321" s="360"/>
      <c r="B321" s="361"/>
      <c r="C321" s="386"/>
      <c r="D321" s="386"/>
      <c r="E321" s="386"/>
      <c r="F321" s="386"/>
      <c r="G321" s="386"/>
      <c r="H321" s="386"/>
      <c r="I321" s="386"/>
      <c r="J321" s="386"/>
      <c r="K321" s="386"/>
      <c r="L321" s="386"/>
      <c r="M321" s="386"/>
      <c r="N321" s="386"/>
      <c r="O321" s="386"/>
      <c r="P321" s="386"/>
    </row>
  </sheetData>
  <mergeCells count="3">
    <mergeCell ref="I6:L6"/>
    <mergeCell ref="N6:P6"/>
    <mergeCell ref="D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317"/>
  <sheetViews>
    <sheetView view="pageBreakPreview" topLeftCell="A154" zoomScaleNormal="100" zoomScaleSheetLayoutView="100" workbookViewId="0">
      <selection activeCell="A10" sqref="A10:G10"/>
    </sheetView>
  </sheetViews>
  <sheetFormatPr defaultColWidth="9.28515625" defaultRowHeight="12.75"/>
  <cols>
    <col min="1" max="1" width="12.28515625" style="6" customWidth="1"/>
    <col min="2" max="2" width="67.7109375" style="6" customWidth="1"/>
    <col min="3" max="3" width="17.7109375" style="6" customWidth="1"/>
    <col min="4" max="4" width="15.7109375" style="6" customWidth="1"/>
    <col min="5" max="5" width="69.7109375" style="6" bestFit="1" customWidth="1"/>
    <col min="6" max="6" width="22.5703125" style="6" bestFit="1" customWidth="1"/>
    <col min="7" max="7" width="25.42578125" style="6" bestFit="1" customWidth="1"/>
    <col min="8" max="8" width="21.5703125" style="6" bestFit="1" customWidth="1"/>
    <col min="9" max="16384" width="9.28515625" style="6"/>
  </cols>
  <sheetData>
    <row r="1" spans="1:8" s="142" customFormat="1" ht="18" customHeight="1">
      <c r="A1" s="408" t="s">
        <v>392</v>
      </c>
      <c r="B1" s="408"/>
      <c r="C1" s="408"/>
      <c r="D1" s="408"/>
    </row>
    <row r="2" spans="1:8" s="142" customFormat="1" ht="15.75" customHeight="1">
      <c r="A2" s="409" t="s">
        <v>393</v>
      </c>
      <c r="B2" s="409"/>
      <c r="C2" s="409"/>
      <c r="D2" s="409"/>
    </row>
    <row r="3" spans="1:8" s="142" customFormat="1" ht="15.75" customHeight="1">
      <c r="A3" s="409" t="s">
        <v>499</v>
      </c>
      <c r="B3" s="409"/>
      <c r="C3" s="409"/>
      <c r="D3" s="409"/>
    </row>
    <row r="4" spans="1:8" s="142" customFormat="1" ht="12" customHeight="1"/>
    <row r="5" spans="1:8" s="142" customFormat="1" ht="3.75" hidden="1" customHeight="1"/>
    <row r="6" spans="1:8" ht="44.25" customHeight="1">
      <c r="A6" s="55" t="s">
        <v>0</v>
      </c>
      <c r="B6" s="56" t="s">
        <v>1</v>
      </c>
      <c r="C6" s="55" t="s">
        <v>442</v>
      </c>
      <c r="D6" s="55" t="s">
        <v>2</v>
      </c>
    </row>
    <row r="7" spans="1:8">
      <c r="A7" s="22"/>
      <c r="B7" s="23"/>
      <c r="C7" s="22" t="s">
        <v>3</v>
      </c>
      <c r="D7" s="23" t="s">
        <v>4</v>
      </c>
    </row>
    <row r="8" spans="1:8" s="142" customFormat="1">
      <c r="A8" s="22"/>
      <c r="B8" s="23"/>
      <c r="C8" s="22"/>
      <c r="D8" s="23"/>
    </row>
    <row r="9" spans="1:8">
      <c r="A9" s="220">
        <v>1341</v>
      </c>
      <c r="B9" s="249" t="s">
        <v>5</v>
      </c>
      <c r="C9" s="272">
        <v>23299691</v>
      </c>
      <c r="D9" s="251">
        <v>0.24123510000000001</v>
      </c>
      <c r="E9" s="146"/>
      <c r="F9" s="302">
        <f>VLOOKUP(A9,'OPEB Amounts_Report'!$A$10:$A$321,1,FALSE)</f>
        <v>1341</v>
      </c>
      <c r="G9" s="125"/>
      <c r="H9" s="126"/>
    </row>
    <row r="10" spans="1:8">
      <c r="A10" s="218">
        <v>2308</v>
      </c>
      <c r="B10" s="219" t="s">
        <v>6</v>
      </c>
      <c r="C10" s="223">
        <v>36334</v>
      </c>
      <c r="D10" s="225">
        <v>3.7619999999999998E-4</v>
      </c>
      <c r="E10" s="146"/>
      <c r="F10" s="302">
        <f>VLOOKUP(A10,'OPEB Amounts_Report'!$A$10:$A$321,1,FALSE)</f>
        <v>2308</v>
      </c>
      <c r="G10" s="125"/>
      <c r="H10" s="126"/>
    </row>
    <row r="11" spans="1:8">
      <c r="A11" s="220">
        <v>2340</v>
      </c>
      <c r="B11" s="221" t="s">
        <v>7</v>
      </c>
      <c r="C11" s="224">
        <v>39094</v>
      </c>
      <c r="D11" s="226">
        <v>4.0479999999999997E-4</v>
      </c>
      <c r="E11" s="146"/>
      <c r="F11" s="302">
        <f>VLOOKUP(A11,'OPEB Amounts_Report'!$A$10:$A$321,1,FALSE)</f>
        <v>2340</v>
      </c>
      <c r="G11" s="125"/>
      <c r="H11" s="126"/>
    </row>
    <row r="12" spans="1:8">
      <c r="A12" s="218">
        <v>1301</v>
      </c>
      <c r="B12" s="219" t="s">
        <v>8</v>
      </c>
      <c r="C12" s="223">
        <v>46164</v>
      </c>
      <c r="D12" s="225">
        <v>4.7800000000000002E-4</v>
      </c>
      <c r="E12" s="146"/>
      <c r="F12" s="302">
        <f>VLOOKUP(A12,'OPEB Amounts_Report'!$A$10:$A$321,1,FALSE)</f>
        <v>1301</v>
      </c>
      <c r="G12" s="125"/>
      <c r="H12" s="126"/>
    </row>
    <row r="13" spans="1:8">
      <c r="A13" s="220">
        <v>2390</v>
      </c>
      <c r="B13" s="221" t="s">
        <v>9</v>
      </c>
      <c r="C13" s="224">
        <v>31243</v>
      </c>
      <c r="D13" s="226">
        <v>3.235E-4</v>
      </c>
      <c r="E13" s="146"/>
      <c r="F13" s="302">
        <f>VLOOKUP(A13,'OPEB Amounts_Report'!$A$10:$A$321,1,FALSE)</f>
        <v>2390</v>
      </c>
      <c r="G13" s="125"/>
      <c r="H13" s="126"/>
    </row>
    <row r="14" spans="1:8">
      <c r="A14" s="218">
        <v>2441</v>
      </c>
      <c r="B14" s="219" t="s">
        <v>444</v>
      </c>
      <c r="C14" s="223">
        <v>7814</v>
      </c>
      <c r="D14" s="225">
        <v>8.0900000000000001E-5</v>
      </c>
      <c r="E14" s="146"/>
      <c r="F14" s="302">
        <f>VLOOKUP(A14,'OPEB Amounts_Report'!$A$10:$A$321,1,FALSE)</f>
        <v>2441</v>
      </c>
      <c r="G14" s="125"/>
      <c r="H14" s="126"/>
    </row>
    <row r="15" spans="1:8" s="142" customFormat="1">
      <c r="A15" s="220">
        <v>15046</v>
      </c>
      <c r="B15" s="221" t="s">
        <v>10</v>
      </c>
      <c r="C15" s="224">
        <v>678882</v>
      </c>
      <c r="D15" s="226">
        <v>7.0288E-3</v>
      </c>
      <c r="E15" s="146"/>
      <c r="F15" s="302">
        <f>VLOOKUP(A15,'OPEB Amounts_Report'!$A$10:$A$321,1,FALSE)</f>
        <v>15046</v>
      </c>
      <c r="G15" s="125"/>
      <c r="H15" s="126"/>
    </row>
    <row r="16" spans="1:8">
      <c r="A16" s="218">
        <v>4380</v>
      </c>
      <c r="B16" s="219" t="s">
        <v>11</v>
      </c>
      <c r="C16" s="223">
        <v>699966</v>
      </c>
      <c r="D16" s="225">
        <v>7.2471000000000002E-3</v>
      </c>
      <c r="E16" s="146"/>
      <c r="F16" s="302">
        <f>VLOOKUP(A16,'OPEB Amounts_Report'!$A$10:$A$321,1,FALSE)</f>
        <v>4380</v>
      </c>
      <c r="G16" s="125"/>
      <c r="H16" s="126"/>
    </row>
    <row r="17" spans="1:8">
      <c r="A17" s="220">
        <v>2343</v>
      </c>
      <c r="B17" s="221" t="s">
        <v>445</v>
      </c>
      <c r="C17" s="224">
        <v>45118</v>
      </c>
      <c r="D17" s="226">
        <v>4.6710000000000002E-4</v>
      </c>
      <c r="E17" s="146"/>
      <c r="F17" s="302">
        <f>VLOOKUP(A17,'OPEB Amounts_Report'!$A$10:$A$321,1,FALSE)</f>
        <v>2343</v>
      </c>
      <c r="G17" s="125"/>
      <c r="H17" s="126"/>
    </row>
    <row r="18" spans="1:8" s="142" customFormat="1">
      <c r="A18" s="218">
        <v>2435</v>
      </c>
      <c r="B18" s="219" t="s">
        <v>409</v>
      </c>
      <c r="C18" s="223">
        <v>13759</v>
      </c>
      <c r="D18" s="225">
        <v>1.4249999999999999E-4</v>
      </c>
      <c r="E18" s="146"/>
      <c r="F18" s="302">
        <f>VLOOKUP(A18,'OPEB Amounts_Report'!$A$10:$A$321,1,FALSE)</f>
        <v>2435</v>
      </c>
      <c r="G18" s="125"/>
      <c r="H18" s="126"/>
    </row>
    <row r="19" spans="1:8">
      <c r="A19" s="220">
        <v>4560</v>
      </c>
      <c r="B19" s="221" t="s">
        <v>12</v>
      </c>
      <c r="C19" s="224">
        <v>60924</v>
      </c>
      <c r="D19" s="226">
        <v>6.3080000000000005E-4</v>
      </c>
      <c r="E19" s="146"/>
      <c r="F19" s="302">
        <f>VLOOKUP(A19,'OPEB Amounts_Report'!$A$10:$A$321,1,FALSE)</f>
        <v>4560</v>
      </c>
      <c r="G19" s="125"/>
      <c r="H19" s="126"/>
    </row>
    <row r="20" spans="1:8">
      <c r="A20" s="218">
        <v>2341</v>
      </c>
      <c r="B20" s="219" t="s">
        <v>440</v>
      </c>
      <c r="C20" s="223">
        <v>35773</v>
      </c>
      <c r="D20" s="225">
        <v>3.704E-4</v>
      </c>
      <c r="E20" s="146"/>
      <c r="F20" s="302">
        <f>VLOOKUP(A20,'OPEB Amounts_Report'!$A$10:$A$321,1,FALSE)</f>
        <v>2341</v>
      </c>
      <c r="G20" s="125"/>
      <c r="H20" s="126"/>
    </row>
    <row r="21" spans="1:8">
      <c r="A21" s="220">
        <v>4580</v>
      </c>
      <c r="B21" s="221" t="s">
        <v>410</v>
      </c>
      <c r="C21" s="224">
        <v>29997</v>
      </c>
      <c r="D21" s="226">
        <v>3.1060000000000001E-4</v>
      </c>
      <c r="E21" s="146"/>
      <c r="F21" s="302">
        <f>VLOOKUP(A21,'OPEB Amounts_Report'!$A$10:$A$321,1,FALSE)</f>
        <v>4580</v>
      </c>
      <c r="G21" s="125"/>
      <c r="H21" s="126"/>
    </row>
    <row r="22" spans="1:8">
      <c r="A22" s="218">
        <v>2003</v>
      </c>
      <c r="B22" s="219" t="s">
        <v>13</v>
      </c>
      <c r="C22" s="223">
        <v>10930498</v>
      </c>
      <c r="D22" s="225">
        <v>0.1131696</v>
      </c>
      <c r="E22" s="146"/>
      <c r="F22" s="302">
        <f>VLOOKUP(A22,'OPEB Amounts_Report'!$A$10:$A$321,1,FALSE)</f>
        <v>2003</v>
      </c>
      <c r="G22" s="125"/>
      <c r="H22" s="126"/>
    </row>
    <row r="23" spans="1:8">
      <c r="A23" s="220">
        <v>2412</v>
      </c>
      <c r="B23" s="221" t="s">
        <v>14</v>
      </c>
      <c r="C23" s="224">
        <v>86415</v>
      </c>
      <c r="D23" s="226">
        <v>8.9470000000000001E-4</v>
      </c>
      <c r="E23" s="146"/>
      <c r="F23" s="302">
        <f>VLOOKUP(A23,'OPEB Amounts_Report'!$A$10:$A$321,1,FALSE)</f>
        <v>2412</v>
      </c>
      <c r="G23" s="125"/>
      <c r="H23" s="126"/>
    </row>
    <row r="24" spans="1:8">
      <c r="A24" s="218">
        <v>2402</v>
      </c>
      <c r="B24" s="219" t="s">
        <v>15</v>
      </c>
      <c r="C24" s="223">
        <v>30918</v>
      </c>
      <c r="D24" s="225">
        <v>3.2009999999999997E-4</v>
      </c>
      <c r="E24" s="146"/>
      <c r="F24" s="302">
        <f>VLOOKUP(A24,'OPEB Amounts_Report'!$A$10:$A$321,1,FALSE)</f>
        <v>2402</v>
      </c>
      <c r="G24" s="125"/>
      <c r="H24" s="126"/>
    </row>
    <row r="25" spans="1:8">
      <c r="A25" s="220">
        <v>2361</v>
      </c>
      <c r="B25" s="221" t="s">
        <v>16</v>
      </c>
      <c r="C25" s="224">
        <v>19881</v>
      </c>
      <c r="D25" s="226">
        <v>2.0579999999999999E-4</v>
      </c>
      <c r="E25" s="146"/>
      <c r="F25" s="302">
        <f>VLOOKUP(A25,'OPEB Amounts_Report'!$A$10:$A$321,1,FALSE)</f>
        <v>2361</v>
      </c>
      <c r="G25" s="125"/>
      <c r="H25" s="126"/>
    </row>
    <row r="26" spans="1:8" s="142" customFormat="1">
      <c r="A26" s="218">
        <v>8347</v>
      </c>
      <c r="B26" s="219" t="s">
        <v>17</v>
      </c>
      <c r="C26" s="223">
        <v>28941</v>
      </c>
      <c r="D26" s="225">
        <v>2.9960000000000002E-4</v>
      </c>
      <c r="E26" s="146"/>
      <c r="F26" s="302">
        <f>VLOOKUP(A26,'OPEB Amounts_Report'!$A$10:$A$321,1,FALSE)</f>
        <v>8347</v>
      </c>
      <c r="G26" s="125"/>
      <c r="H26" s="126"/>
    </row>
    <row r="27" spans="1:8">
      <c r="A27" s="220">
        <v>2356</v>
      </c>
      <c r="B27" s="221" t="s">
        <v>18</v>
      </c>
      <c r="C27" s="224">
        <v>55057</v>
      </c>
      <c r="D27" s="226">
        <v>5.6999999999999998E-4</v>
      </c>
      <c r="E27" s="146"/>
      <c r="F27" s="302">
        <f>VLOOKUP(A27,'OPEB Amounts_Report'!$A$10:$A$321,1,FALSE)</f>
        <v>2356</v>
      </c>
      <c r="G27" s="125"/>
      <c r="H27" s="126"/>
    </row>
    <row r="28" spans="1:8">
      <c r="A28" s="218">
        <v>7335</v>
      </c>
      <c r="B28" s="219" t="s">
        <v>19</v>
      </c>
      <c r="C28" s="223">
        <v>20789</v>
      </c>
      <c r="D28" s="225">
        <v>2.152E-4</v>
      </c>
      <c r="E28" s="146"/>
      <c r="F28" s="302">
        <f>VLOOKUP(A28,'OPEB Amounts_Report'!$A$10:$A$321,1,FALSE)</f>
        <v>7335</v>
      </c>
      <c r="G28" s="125"/>
      <c r="H28" s="126"/>
    </row>
    <row r="29" spans="1:8">
      <c r="A29" s="220">
        <v>575</v>
      </c>
      <c r="B29" s="221" t="s">
        <v>411</v>
      </c>
      <c r="C29" s="224">
        <v>16997</v>
      </c>
      <c r="D29" s="226">
        <v>1.76E-4</v>
      </c>
      <c r="E29" s="146"/>
      <c r="F29" s="302">
        <f>VLOOKUP(A29,'OPEB Amounts_Report'!$A$10:$A$321,1,FALSE)</f>
        <v>575</v>
      </c>
      <c r="G29" s="125"/>
      <c r="H29" s="126"/>
    </row>
    <row r="30" spans="1:8">
      <c r="A30" s="218">
        <v>2303</v>
      </c>
      <c r="B30" s="219" t="s">
        <v>20</v>
      </c>
      <c r="C30" s="223">
        <v>42780</v>
      </c>
      <c r="D30" s="225">
        <v>4.4289999999999998E-4</v>
      </c>
      <c r="E30" s="146"/>
      <c r="F30" s="302">
        <f>VLOOKUP(A30,'OPEB Amounts_Report'!$A$10:$A$321,1,FALSE)</f>
        <v>2303</v>
      </c>
      <c r="G30" s="125"/>
      <c r="H30" s="126"/>
    </row>
    <row r="31" spans="1:8">
      <c r="A31" s="220">
        <v>20316</v>
      </c>
      <c r="B31" s="221" t="s">
        <v>21</v>
      </c>
      <c r="C31" s="224">
        <v>22204</v>
      </c>
      <c r="D31" s="226">
        <v>2.299E-4</v>
      </c>
      <c r="E31" s="146"/>
      <c r="F31" s="302">
        <f>VLOOKUP(A31,'OPEB Amounts_Report'!$A$10:$A$321,1,FALSE)</f>
        <v>20316</v>
      </c>
      <c r="G31" s="125"/>
      <c r="H31" s="126"/>
    </row>
    <row r="32" spans="1:8">
      <c r="A32" s="218">
        <v>23121</v>
      </c>
      <c r="B32" s="219" t="s">
        <v>22</v>
      </c>
      <c r="C32" s="223">
        <v>27064</v>
      </c>
      <c r="D32" s="225">
        <v>2.8019999999999998E-4</v>
      </c>
      <c r="E32" s="146"/>
      <c r="F32" s="302">
        <f>VLOOKUP(A32,'OPEB Amounts_Report'!$A$10:$A$321,1,FALSE)</f>
        <v>23121</v>
      </c>
      <c r="G32" s="125"/>
      <c r="H32" s="126"/>
    </row>
    <row r="33" spans="1:8">
      <c r="A33" s="220">
        <v>3004</v>
      </c>
      <c r="B33" s="221" t="s">
        <v>23</v>
      </c>
      <c r="C33" s="224">
        <v>476812</v>
      </c>
      <c r="D33" s="226">
        <v>4.9366999999999996E-3</v>
      </c>
      <c r="E33" s="146"/>
      <c r="F33" s="302">
        <f>VLOOKUP(A33,'OPEB Amounts_Report'!$A$10:$A$321,1,FALSE)</f>
        <v>3004</v>
      </c>
      <c r="G33" s="125"/>
      <c r="H33" s="126"/>
    </row>
    <row r="34" spans="1:8">
      <c r="A34" s="218">
        <v>16050</v>
      </c>
      <c r="B34" s="219" t="s">
        <v>24</v>
      </c>
      <c r="C34" s="223">
        <v>325424</v>
      </c>
      <c r="D34" s="225">
        <v>3.3693E-3</v>
      </c>
      <c r="E34" s="146"/>
      <c r="F34" s="302">
        <f>VLOOKUP(A34,'OPEB Amounts_Report'!$A$10:$A$321,1,FALSE)</f>
        <v>16050</v>
      </c>
      <c r="G34" s="125"/>
      <c r="H34" s="126"/>
    </row>
    <row r="35" spans="1:8">
      <c r="A35" s="220">
        <v>14043</v>
      </c>
      <c r="B35" s="221" t="s">
        <v>25</v>
      </c>
      <c r="C35" s="224">
        <v>448683</v>
      </c>
      <c r="D35" s="226">
        <v>4.6455000000000003E-3</v>
      </c>
      <c r="E35" s="146"/>
      <c r="F35" s="302">
        <f>VLOOKUP(A35,'OPEB Amounts_Report'!$A$10:$A$321,1,FALSE)</f>
        <v>14043</v>
      </c>
      <c r="G35" s="125"/>
      <c r="H35" s="126"/>
    </row>
    <row r="36" spans="1:8">
      <c r="A36" s="218">
        <v>3010</v>
      </c>
      <c r="B36" s="219" t="s">
        <v>26</v>
      </c>
      <c r="C36" s="223">
        <v>2812369</v>
      </c>
      <c r="D36" s="225">
        <v>2.9118000000000002E-2</v>
      </c>
      <c r="E36" s="146"/>
      <c r="F36" s="302">
        <f>VLOOKUP(A36,'OPEB Amounts_Report'!$A$10:$A$321,1,FALSE)</f>
        <v>3010</v>
      </c>
      <c r="G36" s="125"/>
      <c r="H36" s="126"/>
    </row>
    <row r="37" spans="1:8">
      <c r="A37" s="220">
        <v>29086</v>
      </c>
      <c r="B37" s="221" t="s">
        <v>27</v>
      </c>
      <c r="C37" s="224">
        <v>420180</v>
      </c>
      <c r="D37" s="226">
        <v>4.3503999999999999E-3</v>
      </c>
      <c r="E37" s="146"/>
      <c r="F37" s="302">
        <f>VLOOKUP(A37,'OPEB Amounts_Report'!$A$10:$A$321,1,FALSE)</f>
        <v>29086</v>
      </c>
      <c r="G37" s="125"/>
      <c r="H37" s="126"/>
    </row>
    <row r="38" spans="1:8">
      <c r="A38" s="218">
        <v>16051</v>
      </c>
      <c r="B38" s="219" t="s">
        <v>28</v>
      </c>
      <c r="C38" s="223">
        <v>365837</v>
      </c>
      <c r="D38" s="225">
        <v>3.7877000000000002E-3</v>
      </c>
      <c r="E38" s="146"/>
      <c r="F38" s="302">
        <f>VLOOKUP(A38,'OPEB Amounts_Report'!$A$10:$A$321,1,FALSE)</f>
        <v>16051</v>
      </c>
      <c r="G38" s="125"/>
      <c r="H38" s="126"/>
    </row>
    <row r="39" spans="1:8">
      <c r="A39" s="220">
        <v>26077</v>
      </c>
      <c r="B39" s="221" t="s">
        <v>29</v>
      </c>
      <c r="C39" s="224">
        <v>68570</v>
      </c>
      <c r="D39" s="226">
        <v>7.0989999999999996E-4</v>
      </c>
      <c r="E39" s="146"/>
      <c r="F39" s="302">
        <f>VLOOKUP(A39,'OPEB Amounts_Report'!$A$10:$A$321,1,FALSE)</f>
        <v>26077</v>
      </c>
      <c r="G39" s="125"/>
      <c r="H39" s="126"/>
    </row>
    <row r="40" spans="1:8">
      <c r="A40" s="218">
        <v>3005</v>
      </c>
      <c r="B40" s="219" t="s">
        <v>30</v>
      </c>
      <c r="C40" s="223">
        <v>799952</v>
      </c>
      <c r="D40" s="225">
        <v>8.2824000000000005E-3</v>
      </c>
      <c r="E40" s="146"/>
      <c r="F40" s="302">
        <f>VLOOKUP(A40,'OPEB Amounts_Report'!$A$10:$A$321,1,FALSE)</f>
        <v>3005</v>
      </c>
      <c r="G40" s="125"/>
      <c r="H40" s="126"/>
    </row>
    <row r="41" spans="1:8">
      <c r="A41" s="220">
        <v>26078</v>
      </c>
      <c r="B41" s="221" t="s">
        <v>31</v>
      </c>
      <c r="C41" s="224">
        <v>29793</v>
      </c>
      <c r="D41" s="226">
        <v>3.0850000000000002E-4</v>
      </c>
      <c r="E41" s="146"/>
      <c r="F41" s="302">
        <f>VLOOKUP(A41,'OPEB Amounts_Report'!$A$10:$A$321,1,FALSE)</f>
        <v>26078</v>
      </c>
      <c r="G41" s="125"/>
      <c r="H41" s="126"/>
    </row>
    <row r="42" spans="1:8">
      <c r="A42" s="218">
        <v>16053</v>
      </c>
      <c r="B42" s="219" t="s">
        <v>32</v>
      </c>
      <c r="C42" s="223">
        <v>893309</v>
      </c>
      <c r="D42" s="225">
        <v>9.2488999999999991E-3</v>
      </c>
      <c r="E42" s="146"/>
      <c r="F42" s="302">
        <f>VLOOKUP(A42,'OPEB Amounts_Report'!$A$10:$A$321,1,FALSE)</f>
        <v>16053</v>
      </c>
      <c r="G42" s="125"/>
      <c r="H42" s="126"/>
    </row>
    <row r="43" spans="1:8">
      <c r="A43" s="220">
        <v>2123</v>
      </c>
      <c r="B43" s="221" t="s">
        <v>33</v>
      </c>
      <c r="C43" s="224">
        <v>1604019</v>
      </c>
      <c r="D43" s="226">
        <v>1.6607299999999998E-2</v>
      </c>
      <c r="E43" s="146"/>
      <c r="F43" s="302">
        <f>VLOOKUP(A43,'OPEB Amounts_Report'!$A$10:$A$321,1,FALSE)</f>
        <v>2123</v>
      </c>
      <c r="G43" s="125"/>
      <c r="H43" s="126"/>
    </row>
    <row r="44" spans="1:8">
      <c r="A44" s="218">
        <v>2150</v>
      </c>
      <c r="B44" s="219" t="s">
        <v>34</v>
      </c>
      <c r="C44" s="223">
        <v>77571</v>
      </c>
      <c r="D44" s="225">
        <v>8.0309999999999995E-4</v>
      </c>
      <c r="E44" s="146"/>
      <c r="F44" s="302">
        <f>VLOOKUP(A44,'OPEB Amounts_Report'!$A$10:$A$321,1,FALSE)</f>
        <v>2150</v>
      </c>
      <c r="G44" s="125"/>
      <c r="H44" s="126"/>
    </row>
    <row r="45" spans="1:8">
      <c r="A45" s="220">
        <v>2336</v>
      </c>
      <c r="B45" s="221" t="s">
        <v>35</v>
      </c>
      <c r="C45" s="224">
        <v>22852</v>
      </c>
      <c r="D45" s="226">
        <v>2.366E-4</v>
      </c>
      <c r="E45" s="146"/>
      <c r="F45" s="302">
        <f>VLOOKUP(A45,'OPEB Amounts_Report'!$A$10:$A$321,1,FALSE)</f>
        <v>2336</v>
      </c>
      <c r="G45" s="125"/>
      <c r="H45" s="126"/>
    </row>
    <row r="46" spans="1:8">
      <c r="A46" s="218">
        <v>17126</v>
      </c>
      <c r="B46" s="219" t="s">
        <v>36</v>
      </c>
      <c r="C46" s="223">
        <v>65510</v>
      </c>
      <c r="D46" s="225">
        <v>6.7829999999999995E-4</v>
      </c>
      <c r="E46" s="146"/>
      <c r="F46" s="302">
        <f>VLOOKUP(A46,'OPEB Amounts_Report'!$A$10:$A$321,1,FALSE)</f>
        <v>17126</v>
      </c>
      <c r="G46" s="125"/>
      <c r="H46" s="126"/>
    </row>
    <row r="47" spans="1:8">
      <c r="A47" s="220">
        <v>3030</v>
      </c>
      <c r="B47" s="221" t="s">
        <v>37</v>
      </c>
      <c r="C47" s="224">
        <v>205289</v>
      </c>
      <c r="D47" s="226">
        <v>2.1254999999999998E-3</v>
      </c>
      <c r="E47" s="146"/>
      <c r="F47" s="302">
        <f>VLOOKUP(A47,'OPEB Amounts_Report'!$A$10:$A$321,1,FALSE)</f>
        <v>3030</v>
      </c>
      <c r="G47" s="125"/>
      <c r="H47" s="126"/>
    </row>
    <row r="48" spans="1:8">
      <c r="A48" s="218">
        <v>2353</v>
      </c>
      <c r="B48" s="219" t="s">
        <v>38</v>
      </c>
      <c r="C48" s="223">
        <v>40702</v>
      </c>
      <c r="D48" s="225">
        <v>4.214E-4</v>
      </c>
      <c r="E48" s="146"/>
      <c r="F48" s="302">
        <f>VLOOKUP(A48,'OPEB Amounts_Report'!$A$10:$A$321,1,FALSE)</f>
        <v>2353</v>
      </c>
      <c r="G48" s="125"/>
      <c r="H48" s="126"/>
    </row>
    <row r="49" spans="1:8">
      <c r="A49" s="220">
        <v>3040</v>
      </c>
      <c r="B49" s="221" t="s">
        <v>39</v>
      </c>
      <c r="C49" s="224">
        <v>72107</v>
      </c>
      <c r="D49" s="226">
        <v>7.4660000000000004E-4</v>
      </c>
      <c r="E49" s="146"/>
      <c r="F49" s="302">
        <f>VLOOKUP(A49,'OPEB Amounts_Report'!$A$10:$A$321,1,FALSE)</f>
        <v>3040</v>
      </c>
      <c r="G49" s="125"/>
      <c r="H49" s="126"/>
    </row>
    <row r="50" spans="1:8">
      <c r="A50" s="218">
        <v>2367</v>
      </c>
      <c r="B50" s="219" t="s">
        <v>40</v>
      </c>
      <c r="C50" s="223">
        <v>48952</v>
      </c>
      <c r="D50" s="225">
        <v>5.0679999999999996E-4</v>
      </c>
      <c r="E50" s="146"/>
      <c r="F50" s="302">
        <f>VLOOKUP(A50,'OPEB Amounts_Report'!$A$10:$A$321,1,FALSE)</f>
        <v>2367</v>
      </c>
      <c r="G50" s="125"/>
      <c r="H50" s="126"/>
    </row>
    <row r="51" spans="1:8">
      <c r="A51" s="220">
        <v>9027</v>
      </c>
      <c r="B51" s="221" t="s">
        <v>41</v>
      </c>
      <c r="C51" s="224">
        <v>71725</v>
      </c>
      <c r="D51" s="226">
        <v>7.4260000000000005E-4</v>
      </c>
      <c r="E51" s="146"/>
      <c r="F51" s="302">
        <f>VLOOKUP(A51,'OPEB Amounts_Report'!$A$10:$A$321,1,FALSE)</f>
        <v>9027</v>
      </c>
      <c r="G51" s="125"/>
      <c r="H51" s="126"/>
    </row>
    <row r="52" spans="1:8">
      <c r="A52" s="218">
        <v>2010</v>
      </c>
      <c r="B52" s="219" t="s">
        <v>42</v>
      </c>
      <c r="C52" s="223">
        <v>258621</v>
      </c>
      <c r="D52" s="225">
        <v>2.6776E-3</v>
      </c>
      <c r="E52" s="146"/>
      <c r="F52" s="302">
        <f>VLOOKUP(A52,'OPEB Amounts_Report'!$A$10:$A$321,1,FALSE)</f>
        <v>2010</v>
      </c>
      <c r="G52" s="125"/>
      <c r="H52" s="126"/>
    </row>
    <row r="53" spans="1:8">
      <c r="A53" s="220">
        <v>2020</v>
      </c>
      <c r="B53" s="221" t="s">
        <v>43</v>
      </c>
      <c r="C53" s="224">
        <v>6688271</v>
      </c>
      <c r="D53" s="226">
        <v>6.9247400000000001E-2</v>
      </c>
      <c r="E53" s="146"/>
      <c r="F53" s="302">
        <f>VLOOKUP(A53,'OPEB Amounts_Report'!$A$10:$A$321,1,FALSE)</f>
        <v>2020</v>
      </c>
      <c r="G53" s="125"/>
      <c r="H53" s="126"/>
    </row>
    <row r="54" spans="1:8">
      <c r="A54" s="218">
        <v>2040</v>
      </c>
      <c r="B54" s="219" t="s">
        <v>44</v>
      </c>
      <c r="C54" s="223">
        <v>85486</v>
      </c>
      <c r="D54" s="225">
        <v>8.8509999999999999E-4</v>
      </c>
      <c r="E54" s="146"/>
      <c r="F54" s="302">
        <f>VLOOKUP(A54,'OPEB Amounts_Report'!$A$10:$A$321,1,FALSE)</f>
        <v>2040</v>
      </c>
      <c r="G54" s="125"/>
      <c r="H54" s="126"/>
    </row>
    <row r="55" spans="1:8">
      <c r="A55" s="220">
        <v>2060</v>
      </c>
      <c r="B55" s="221" t="s">
        <v>45</v>
      </c>
      <c r="C55" s="224">
        <v>90732</v>
      </c>
      <c r="D55" s="226">
        <v>9.3939999999999996E-4</v>
      </c>
      <c r="E55" s="146"/>
      <c r="F55" s="302">
        <f>VLOOKUP(A55,'OPEB Amounts_Report'!$A$10:$A$321,1,FALSE)</f>
        <v>2060</v>
      </c>
      <c r="G55" s="125"/>
      <c r="H55" s="126"/>
    </row>
    <row r="56" spans="1:8">
      <c r="A56" s="218">
        <v>2090</v>
      </c>
      <c r="B56" s="219" t="s">
        <v>46</v>
      </c>
      <c r="C56" s="223">
        <v>70068</v>
      </c>
      <c r="D56" s="225">
        <v>7.2550000000000002E-4</v>
      </c>
      <c r="E56" s="146"/>
      <c r="F56" s="302">
        <f>VLOOKUP(A56,'OPEB Amounts_Report'!$A$10:$A$321,1,FALSE)</f>
        <v>2090</v>
      </c>
      <c r="G56" s="125"/>
      <c r="H56" s="126"/>
    </row>
    <row r="57" spans="1:8">
      <c r="A57" s="220">
        <v>2110</v>
      </c>
      <c r="B57" s="249" t="s">
        <v>47</v>
      </c>
      <c r="C57" s="321">
        <v>596987</v>
      </c>
      <c r="D57" s="251">
        <v>6.1808999999999996E-3</v>
      </c>
      <c r="E57" s="146"/>
      <c r="F57" s="302">
        <f>VLOOKUP(A57,'OPEB Amounts_Report'!$A$10:$A$321,1,FALSE)</f>
        <v>2110</v>
      </c>
      <c r="G57" s="125"/>
      <c r="H57" s="126"/>
    </row>
    <row r="58" spans="1:8">
      <c r="A58" s="218">
        <v>2180</v>
      </c>
      <c r="B58" s="219" t="s">
        <v>48</v>
      </c>
      <c r="C58" s="223">
        <v>277689</v>
      </c>
      <c r="D58" s="225">
        <v>2.8750999999999998E-3</v>
      </c>
      <c r="E58" s="146"/>
      <c r="F58" s="302">
        <f>VLOOKUP(A58,'OPEB Amounts_Report'!$A$10:$A$321,1,FALSE)</f>
        <v>2180</v>
      </c>
      <c r="G58" s="125"/>
      <c r="H58" s="126"/>
    </row>
    <row r="59" spans="1:8">
      <c r="A59" s="220">
        <v>2210</v>
      </c>
      <c r="B59" s="221" t="s">
        <v>49</v>
      </c>
      <c r="C59" s="224">
        <v>132101</v>
      </c>
      <c r="D59" s="226">
        <v>1.3676999999999999E-3</v>
      </c>
      <c r="E59" s="146"/>
      <c r="F59" s="302">
        <f>VLOOKUP(A59,'OPEB Amounts_Report'!$A$10:$A$321,1,FALSE)</f>
        <v>2210</v>
      </c>
      <c r="G59" s="125"/>
      <c r="H59" s="126"/>
    </row>
    <row r="60" spans="1:8">
      <c r="A60" s="218">
        <v>2290</v>
      </c>
      <c r="B60" s="219" t="s">
        <v>50</v>
      </c>
      <c r="C60" s="223">
        <v>129820</v>
      </c>
      <c r="D60" s="225">
        <v>1.3441E-3</v>
      </c>
      <c r="E60" s="146"/>
      <c r="F60" s="302">
        <f>VLOOKUP(A60,'OPEB Amounts_Report'!$A$10:$A$321,1,FALSE)</f>
        <v>2290</v>
      </c>
      <c r="G60" s="125"/>
      <c r="H60" s="126"/>
    </row>
    <row r="61" spans="1:8">
      <c r="A61" s="220">
        <v>2310</v>
      </c>
      <c r="B61" s="221" t="s">
        <v>51</v>
      </c>
      <c r="C61" s="224">
        <v>911565</v>
      </c>
      <c r="D61" s="226">
        <v>9.4379000000000008E-3</v>
      </c>
      <c r="E61" s="146"/>
      <c r="F61" s="302">
        <f>VLOOKUP(A61,'OPEB Amounts_Report'!$A$10:$A$321,1,FALSE)</f>
        <v>2310</v>
      </c>
      <c r="G61" s="125"/>
      <c r="H61" s="126"/>
    </row>
    <row r="62" spans="1:8">
      <c r="A62" s="218">
        <v>2330</v>
      </c>
      <c r="B62" s="219" t="s">
        <v>52</v>
      </c>
      <c r="C62" s="223">
        <v>306200</v>
      </c>
      <c r="D62" s="225">
        <v>3.1703E-3</v>
      </c>
      <c r="E62" s="146"/>
      <c r="F62" s="302">
        <f>VLOOKUP(A62,'OPEB Amounts_Report'!$A$10:$A$321,1,FALSE)</f>
        <v>2330</v>
      </c>
      <c r="G62" s="125"/>
      <c r="H62" s="126"/>
    </row>
    <row r="63" spans="1:8">
      <c r="A63" s="220">
        <v>2380</v>
      </c>
      <c r="B63" s="221" t="s">
        <v>53</v>
      </c>
      <c r="C63" s="224">
        <v>44896</v>
      </c>
      <c r="D63" s="226">
        <v>4.6480000000000002E-4</v>
      </c>
      <c r="E63" s="146"/>
      <c r="F63" s="302">
        <f>VLOOKUP(A63,'OPEB Amounts_Report'!$A$10:$A$321,1,FALSE)</f>
        <v>2380</v>
      </c>
      <c r="G63" s="125"/>
      <c r="H63" s="126"/>
    </row>
    <row r="64" spans="1:8">
      <c r="A64" s="218">
        <v>2400</v>
      </c>
      <c r="B64" s="219" t="s">
        <v>54</v>
      </c>
      <c r="C64" s="223">
        <v>1555097</v>
      </c>
      <c r="D64" s="225">
        <v>1.6100799999999998E-2</v>
      </c>
      <c r="E64" s="146"/>
      <c r="F64" s="302">
        <f>VLOOKUP(A64,'OPEB Amounts_Report'!$A$10:$A$321,1,FALSE)</f>
        <v>2400</v>
      </c>
      <c r="G64" s="125"/>
      <c r="H64" s="126"/>
    </row>
    <row r="65" spans="1:8">
      <c r="A65" s="220">
        <v>2410</v>
      </c>
      <c r="B65" s="221" t="s">
        <v>55</v>
      </c>
      <c r="C65" s="224">
        <v>189598</v>
      </c>
      <c r="D65" s="226">
        <v>1.9629999999999999E-3</v>
      </c>
      <c r="E65" s="146"/>
      <c r="F65" s="302">
        <f>VLOOKUP(A65,'OPEB Amounts_Report'!$A$10:$A$321,1,FALSE)</f>
        <v>2410</v>
      </c>
      <c r="G65" s="125"/>
      <c r="H65" s="126"/>
    </row>
    <row r="66" spans="1:8">
      <c r="A66" s="218">
        <v>2500</v>
      </c>
      <c r="B66" s="219" t="s">
        <v>56</v>
      </c>
      <c r="C66" s="223">
        <v>27556</v>
      </c>
      <c r="D66" s="225">
        <v>2.853E-4</v>
      </c>
      <c r="E66" s="146"/>
      <c r="F66" s="302">
        <f>VLOOKUP(A66,'OPEB Amounts_Report'!$A$10:$A$321,1,FALSE)</f>
        <v>2500</v>
      </c>
      <c r="G66" s="125"/>
      <c r="H66" s="126"/>
    </row>
    <row r="67" spans="1:8">
      <c r="A67" s="220">
        <v>2550</v>
      </c>
      <c r="B67" s="221" t="s">
        <v>57</v>
      </c>
      <c r="C67" s="224">
        <v>114042</v>
      </c>
      <c r="D67" s="226">
        <v>1.1807E-3</v>
      </c>
      <c r="E67" s="146"/>
      <c r="F67" s="302">
        <f>VLOOKUP(A67,'OPEB Amounts_Report'!$A$10:$A$321,1,FALSE)</f>
        <v>2550</v>
      </c>
      <c r="G67" s="125"/>
      <c r="H67" s="126"/>
    </row>
    <row r="68" spans="1:8">
      <c r="A68" s="218">
        <v>2570</v>
      </c>
      <c r="B68" s="219" t="s">
        <v>58</v>
      </c>
      <c r="C68" s="223">
        <v>72990</v>
      </c>
      <c r="D68" s="225">
        <v>7.5569999999999999E-4</v>
      </c>
      <c r="E68" s="146"/>
      <c r="F68" s="302">
        <f>VLOOKUP(A68,'OPEB Amounts_Report'!$A$10:$A$321,1,FALSE)</f>
        <v>2570</v>
      </c>
      <c r="G68" s="125"/>
      <c r="H68" s="126"/>
    </row>
    <row r="69" spans="1:8">
      <c r="A69" s="220">
        <v>2620</v>
      </c>
      <c r="B69" s="221" t="s">
        <v>59</v>
      </c>
      <c r="C69" s="224">
        <v>684377</v>
      </c>
      <c r="D69" s="226">
        <v>7.0857000000000003E-3</v>
      </c>
      <c r="E69" s="146"/>
      <c r="F69" s="302">
        <f>VLOOKUP(A69,'OPEB Amounts_Report'!$A$10:$A$321,1,FALSE)</f>
        <v>2620</v>
      </c>
      <c r="G69" s="125"/>
      <c r="H69" s="126"/>
    </row>
    <row r="70" spans="1:8">
      <c r="A70" s="218">
        <v>2630</v>
      </c>
      <c r="B70" s="219" t="s">
        <v>60</v>
      </c>
      <c r="C70" s="223">
        <v>526608</v>
      </c>
      <c r="D70" s="225">
        <v>5.4523000000000002E-3</v>
      </c>
      <c r="E70" s="146"/>
      <c r="F70" s="302">
        <f>VLOOKUP(A70,'OPEB Amounts_Report'!$A$10:$A$321,1,FALSE)</f>
        <v>2630</v>
      </c>
      <c r="G70" s="125"/>
      <c r="H70" s="126"/>
    </row>
    <row r="71" spans="1:8">
      <c r="A71" s="220">
        <v>2690</v>
      </c>
      <c r="B71" s="221" t="s">
        <v>61</v>
      </c>
      <c r="C71" s="224">
        <v>1317162</v>
      </c>
      <c r="D71" s="226">
        <v>1.36373E-2</v>
      </c>
      <c r="E71" s="146"/>
      <c r="F71" s="302">
        <f>VLOOKUP(A71,'OPEB Amounts_Report'!$A$10:$A$321,1,FALSE)</f>
        <v>2690</v>
      </c>
      <c r="G71" s="125"/>
      <c r="H71" s="126"/>
    </row>
    <row r="72" spans="1:8">
      <c r="A72" s="218">
        <v>2710</v>
      </c>
      <c r="B72" s="219" t="s">
        <v>62</v>
      </c>
      <c r="C72" s="223">
        <v>23597</v>
      </c>
      <c r="D72" s="225">
        <v>2.4429999999999998E-4</v>
      </c>
      <c r="E72" s="146"/>
      <c r="F72" s="302">
        <f>VLOOKUP(A72,'OPEB Amounts_Report'!$A$10:$A$321,1,FALSE)</f>
        <v>2710</v>
      </c>
      <c r="G72" s="125"/>
      <c r="H72" s="126"/>
    </row>
    <row r="73" spans="1:8">
      <c r="A73" s="220">
        <v>2730</v>
      </c>
      <c r="B73" s="221" t="s">
        <v>63</v>
      </c>
      <c r="C73" s="322">
        <v>97152</v>
      </c>
      <c r="D73" s="226">
        <v>1.0058999999999999E-3</v>
      </c>
      <c r="E73" s="146"/>
      <c r="F73" s="302">
        <f>VLOOKUP(A73,'OPEB Amounts_Report'!$A$10:$A$321,1,FALSE)</f>
        <v>2730</v>
      </c>
      <c r="G73" s="125"/>
      <c r="H73" s="126"/>
    </row>
    <row r="74" spans="1:8">
      <c r="A74" s="218">
        <v>2950</v>
      </c>
      <c r="B74" s="219" t="s">
        <v>64</v>
      </c>
      <c r="C74" s="223">
        <v>82285</v>
      </c>
      <c r="D74" s="225">
        <v>8.5190000000000005E-4</v>
      </c>
      <c r="E74" s="146"/>
      <c r="F74" s="302">
        <f>VLOOKUP(A74,'OPEB Amounts_Report'!$A$10:$A$321,1,FALSE)</f>
        <v>2950</v>
      </c>
      <c r="G74" s="125"/>
      <c r="H74" s="126"/>
    </row>
    <row r="75" spans="1:8">
      <c r="A75" s="220">
        <v>2760</v>
      </c>
      <c r="B75" s="221" t="s">
        <v>65</v>
      </c>
      <c r="C75" s="224">
        <v>78238</v>
      </c>
      <c r="D75" s="226">
        <v>8.0999999999999996E-4</v>
      </c>
      <c r="E75" s="146"/>
      <c r="F75" s="302">
        <f>VLOOKUP(A75,'OPEB Amounts_Report'!$A$10:$A$321,1,FALSE)</f>
        <v>2760</v>
      </c>
      <c r="G75" s="125"/>
      <c r="H75" s="126"/>
    </row>
    <row r="76" spans="1:8">
      <c r="A76" s="218">
        <v>2780</v>
      </c>
      <c r="B76" s="219" t="s">
        <v>66</v>
      </c>
      <c r="C76" s="223">
        <v>7017</v>
      </c>
      <c r="D76" s="225">
        <v>7.2700000000000005E-5</v>
      </c>
      <c r="E76" s="146"/>
      <c r="F76" s="302">
        <f>VLOOKUP(A76,'OPEB Amounts_Report'!$A$10:$A$321,1,FALSE)</f>
        <v>2780</v>
      </c>
      <c r="G76" s="125"/>
      <c r="H76" s="126"/>
    </row>
    <row r="77" spans="1:8">
      <c r="A77" s="220">
        <v>2810</v>
      </c>
      <c r="B77" s="221" t="s">
        <v>67</v>
      </c>
      <c r="C77" s="224">
        <v>55024</v>
      </c>
      <c r="D77" s="226">
        <v>5.6970000000000002E-4</v>
      </c>
      <c r="E77" s="146"/>
      <c r="F77" s="302">
        <f>VLOOKUP(A77,'OPEB Amounts_Report'!$A$10:$A$321,1,FALSE)</f>
        <v>2810</v>
      </c>
      <c r="G77" s="125"/>
      <c r="H77" s="126"/>
    </row>
    <row r="78" spans="1:8">
      <c r="A78" s="218">
        <v>18056</v>
      </c>
      <c r="B78" s="219" t="s">
        <v>68</v>
      </c>
      <c r="C78" s="223">
        <v>65307</v>
      </c>
      <c r="D78" s="225">
        <v>6.7619999999999996E-4</v>
      </c>
      <c r="E78" s="146"/>
      <c r="F78" s="302">
        <f>VLOOKUP(A78,'OPEB Amounts_Report'!$A$10:$A$321,1,FALSE)</f>
        <v>18056</v>
      </c>
      <c r="G78" s="125"/>
      <c r="H78" s="126"/>
    </row>
    <row r="79" spans="1:8">
      <c r="A79" s="220">
        <v>15047</v>
      </c>
      <c r="B79" s="221" t="s">
        <v>69</v>
      </c>
      <c r="C79" s="224">
        <v>59525</v>
      </c>
      <c r="D79" s="226">
        <v>6.1629999999999996E-4</v>
      </c>
      <c r="E79" s="146"/>
      <c r="F79" s="302">
        <f>VLOOKUP(A79,'OPEB Amounts_Report'!$A$10:$A$321,1,FALSE)</f>
        <v>15047</v>
      </c>
      <c r="G79" s="125"/>
      <c r="H79" s="126"/>
    </row>
    <row r="80" spans="1:8">
      <c r="A80" s="218">
        <v>5012</v>
      </c>
      <c r="B80" s="219" t="s">
        <v>70</v>
      </c>
      <c r="C80" s="223">
        <v>987282</v>
      </c>
      <c r="D80" s="225">
        <v>1.0221900000000001E-2</v>
      </c>
      <c r="E80" s="146"/>
      <c r="F80" s="302">
        <f>VLOOKUP(A80,'OPEB Amounts_Report'!$A$10:$A$321,1,FALSE)</f>
        <v>5012</v>
      </c>
      <c r="G80" s="125"/>
      <c r="H80" s="126"/>
    </row>
    <row r="81" spans="1:8">
      <c r="A81" s="220">
        <v>8024</v>
      </c>
      <c r="B81" s="221" t="s">
        <v>71</v>
      </c>
      <c r="C81" s="224">
        <v>208908</v>
      </c>
      <c r="D81" s="226">
        <v>2.1629000000000002E-3</v>
      </c>
      <c r="E81" s="146"/>
      <c r="F81" s="302">
        <f>VLOOKUP(A81,'OPEB Amounts_Report'!$A$10:$A$321,1,FALSE)</f>
        <v>8024</v>
      </c>
      <c r="G81" s="125"/>
      <c r="H81" s="126"/>
    </row>
    <row r="82" spans="1:8">
      <c r="A82" s="218">
        <v>3050</v>
      </c>
      <c r="B82" s="219" t="s">
        <v>72</v>
      </c>
      <c r="C82" s="223">
        <v>68560</v>
      </c>
      <c r="D82" s="225">
        <v>7.0980000000000001E-4</v>
      </c>
      <c r="E82" s="146"/>
      <c r="F82" s="302">
        <f>VLOOKUP(A82,'OPEB Amounts_Report'!$A$10:$A$321,1,FALSE)</f>
        <v>3050</v>
      </c>
      <c r="G82" s="125"/>
      <c r="H82" s="126"/>
    </row>
    <row r="83" spans="1:8">
      <c r="A83" s="220">
        <v>2421</v>
      </c>
      <c r="B83" s="221" t="s">
        <v>73</v>
      </c>
      <c r="C83" s="224">
        <v>24709</v>
      </c>
      <c r="D83" s="226">
        <v>2.5579999999999998E-4</v>
      </c>
      <c r="E83" s="146"/>
      <c r="F83" s="302">
        <f>VLOOKUP(A83,'OPEB Amounts_Report'!$A$10:$A$321,1,FALSE)</f>
        <v>2421</v>
      </c>
      <c r="G83" s="125"/>
      <c r="H83" s="126"/>
    </row>
    <row r="84" spans="1:8">
      <c r="A84" s="218">
        <v>26079</v>
      </c>
      <c r="B84" s="219" t="s">
        <v>74</v>
      </c>
      <c r="C84" s="223">
        <v>22036</v>
      </c>
      <c r="D84" s="225">
        <v>2.2819999999999999E-4</v>
      </c>
      <c r="E84" s="146"/>
      <c r="F84" s="302">
        <f>VLOOKUP(A84,'OPEB Amounts_Report'!$A$10:$A$321,1,FALSE)</f>
        <v>26079</v>
      </c>
      <c r="G84" s="125"/>
      <c r="H84" s="126"/>
    </row>
    <row r="85" spans="1:8">
      <c r="A85" s="220">
        <v>2363</v>
      </c>
      <c r="B85" s="221" t="s">
        <v>75</v>
      </c>
      <c r="C85" s="224">
        <v>28717</v>
      </c>
      <c r="D85" s="226">
        <v>2.9730000000000002E-4</v>
      </c>
      <c r="E85" s="146"/>
      <c r="F85" s="302">
        <f>VLOOKUP(A85,'OPEB Amounts_Report'!$A$10:$A$321,1,FALSE)</f>
        <v>2363</v>
      </c>
      <c r="G85" s="125"/>
      <c r="H85" s="126"/>
    </row>
    <row r="86" spans="1:8">
      <c r="A86" s="218">
        <v>2364</v>
      </c>
      <c r="B86" s="219" t="s">
        <v>76</v>
      </c>
      <c r="C86" s="223">
        <v>74335</v>
      </c>
      <c r="D86" s="225">
        <v>7.6959999999999995E-4</v>
      </c>
      <c r="E86" s="146"/>
      <c r="F86" s="302">
        <f>VLOOKUP(A86,'OPEB Amounts_Report'!$A$10:$A$321,1,FALSE)</f>
        <v>2364</v>
      </c>
      <c r="G86" s="125"/>
      <c r="H86" s="126"/>
    </row>
    <row r="87" spans="1:8">
      <c r="A87" s="220">
        <v>25319</v>
      </c>
      <c r="B87" s="221" t="s">
        <v>77</v>
      </c>
      <c r="C87" s="224">
        <v>22584</v>
      </c>
      <c r="D87" s="226">
        <v>2.3379999999999999E-4</v>
      </c>
      <c r="E87" s="146"/>
      <c r="F87" s="302">
        <f>VLOOKUP(A87,'OPEB Amounts_Report'!$A$10:$A$321,1,FALSE)</f>
        <v>25319</v>
      </c>
      <c r="G87" s="125"/>
      <c r="H87" s="126"/>
    </row>
    <row r="88" spans="1:8">
      <c r="A88" s="218">
        <v>29087</v>
      </c>
      <c r="B88" s="219" t="s">
        <v>78</v>
      </c>
      <c r="C88" s="223">
        <v>130822</v>
      </c>
      <c r="D88" s="225">
        <v>1.3545E-3</v>
      </c>
      <c r="E88" s="146"/>
      <c r="F88" s="302">
        <f>VLOOKUP(A88,'OPEB Amounts_Report'!$A$10:$A$321,1,FALSE)</f>
        <v>29087</v>
      </c>
      <c r="G88" s="125"/>
      <c r="H88" s="126"/>
    </row>
    <row r="89" spans="1:8">
      <c r="A89" s="220">
        <v>3060</v>
      </c>
      <c r="B89" s="221" t="s">
        <v>79</v>
      </c>
      <c r="C89" s="224">
        <v>115450</v>
      </c>
      <c r="D89" s="226">
        <v>1.1953000000000001E-3</v>
      </c>
      <c r="E89" s="146"/>
      <c r="F89" s="302">
        <f>VLOOKUP(A89,'OPEB Amounts_Report'!$A$10:$A$321,1,FALSE)</f>
        <v>3060</v>
      </c>
      <c r="G89" s="125"/>
      <c r="H89" s="126"/>
    </row>
    <row r="90" spans="1:8">
      <c r="A90" s="218">
        <v>19301</v>
      </c>
      <c r="B90" s="219" t="s">
        <v>80</v>
      </c>
      <c r="C90" s="223">
        <v>17264</v>
      </c>
      <c r="D90" s="225">
        <v>1.7870000000000001E-4</v>
      </c>
      <c r="E90" s="146"/>
      <c r="F90" s="302">
        <f>VLOOKUP(A90,'OPEB Amounts_Report'!$A$10:$A$321,1,FALSE)</f>
        <v>19301</v>
      </c>
      <c r="G90" s="125"/>
      <c r="H90" s="126"/>
    </row>
    <row r="91" spans="1:8">
      <c r="A91" s="220">
        <v>19059</v>
      </c>
      <c r="B91" s="221" t="s">
        <v>81</v>
      </c>
      <c r="C91" s="224">
        <v>676512</v>
      </c>
      <c r="D91" s="226">
        <v>7.0042999999999998E-3</v>
      </c>
      <c r="E91" s="146"/>
      <c r="F91" s="302">
        <f>VLOOKUP(A91,'OPEB Amounts_Report'!$A$10:$A$321,1,FALSE)</f>
        <v>19059</v>
      </c>
      <c r="G91" s="125"/>
      <c r="H91" s="126"/>
    </row>
    <row r="92" spans="1:8">
      <c r="A92" s="218">
        <v>18057</v>
      </c>
      <c r="B92" s="219" t="s">
        <v>82</v>
      </c>
      <c r="C92" s="223">
        <v>24782</v>
      </c>
      <c r="D92" s="225">
        <v>2.566E-4</v>
      </c>
      <c r="E92" s="146"/>
      <c r="F92" s="302">
        <f>VLOOKUP(A92,'OPEB Amounts_Report'!$A$10:$A$321,1,FALSE)</f>
        <v>18057</v>
      </c>
      <c r="G92" s="125"/>
      <c r="H92" s="126"/>
    </row>
    <row r="93" spans="1:8">
      <c r="A93" s="220">
        <v>4008</v>
      </c>
      <c r="B93" s="221" t="s">
        <v>83</v>
      </c>
      <c r="C93" s="224">
        <v>112906</v>
      </c>
      <c r="D93" s="226">
        <v>1.1689999999999999E-3</v>
      </c>
      <c r="E93" s="146"/>
      <c r="F93" s="302">
        <f>VLOOKUP(A93,'OPEB Amounts_Report'!$A$10:$A$321,1,FALSE)</f>
        <v>4008</v>
      </c>
      <c r="G93" s="125"/>
      <c r="H93" s="126"/>
    </row>
    <row r="94" spans="1:8">
      <c r="A94" s="218">
        <v>2350</v>
      </c>
      <c r="B94" s="219" t="s">
        <v>84</v>
      </c>
      <c r="C94" s="223">
        <v>37337</v>
      </c>
      <c r="D94" s="225">
        <v>3.8660000000000002E-4</v>
      </c>
      <c r="E94" s="146"/>
      <c r="F94" s="302">
        <f>VLOOKUP(A94,'OPEB Amounts_Report'!$A$10:$A$321,1,FALSE)</f>
        <v>2350</v>
      </c>
      <c r="G94" s="125"/>
      <c r="H94" s="126"/>
    </row>
    <row r="95" spans="1:8">
      <c r="A95" s="220">
        <v>11117</v>
      </c>
      <c r="B95" s="221" t="s">
        <v>85</v>
      </c>
      <c r="C95" s="224">
        <v>41796</v>
      </c>
      <c r="D95" s="226">
        <v>4.327E-4</v>
      </c>
      <c r="E95" s="146"/>
      <c r="F95" s="302">
        <f>VLOOKUP(A95,'OPEB Amounts_Report'!$A$10:$A$321,1,FALSE)</f>
        <v>11117</v>
      </c>
      <c r="G95" s="125"/>
      <c r="H95" s="126"/>
    </row>
    <row r="96" spans="1:8">
      <c r="A96" s="218">
        <v>16359</v>
      </c>
      <c r="B96" s="219" t="s">
        <v>86</v>
      </c>
      <c r="C96" s="223">
        <v>6732</v>
      </c>
      <c r="D96" s="225">
        <v>6.97E-5</v>
      </c>
      <c r="E96" s="146"/>
      <c r="F96" s="302">
        <f>VLOOKUP(A96,'OPEB Amounts_Report'!$A$10:$A$321,1,FALSE)</f>
        <v>16359</v>
      </c>
      <c r="G96" s="125"/>
      <c r="H96" s="126"/>
    </row>
    <row r="97" spans="1:8">
      <c r="A97" s="220">
        <v>17115</v>
      </c>
      <c r="B97" s="221" t="s">
        <v>87</v>
      </c>
      <c r="C97" s="224">
        <v>116484</v>
      </c>
      <c r="D97" s="226">
        <v>1.206E-3</v>
      </c>
      <c r="E97" s="146"/>
      <c r="F97" s="302">
        <f>VLOOKUP(A97,'OPEB Amounts_Report'!$A$10:$A$321,1,FALSE)</f>
        <v>17115</v>
      </c>
      <c r="G97" s="125"/>
      <c r="H97" s="126"/>
    </row>
    <row r="98" spans="1:8">
      <c r="A98" s="218">
        <v>32117</v>
      </c>
      <c r="B98" s="219" t="s">
        <v>88</v>
      </c>
      <c r="C98" s="223">
        <v>7672</v>
      </c>
      <c r="D98" s="225">
        <v>7.9400000000000006E-5</v>
      </c>
      <c r="E98" s="146"/>
      <c r="F98" s="302">
        <f>VLOOKUP(A98,'OPEB Amounts_Report'!$A$10:$A$321,1,FALSE)</f>
        <v>32117</v>
      </c>
      <c r="G98" s="125"/>
      <c r="H98" s="126"/>
    </row>
    <row r="99" spans="1:8">
      <c r="A99" s="220">
        <v>2304</v>
      </c>
      <c r="B99" s="221" t="s">
        <v>89</v>
      </c>
      <c r="C99" s="224">
        <v>45123</v>
      </c>
      <c r="D99" s="226">
        <v>4.6720000000000003E-4</v>
      </c>
      <c r="E99" s="146"/>
      <c r="F99" s="302">
        <f>VLOOKUP(A99,'OPEB Amounts_Report'!$A$10:$A$321,1,FALSE)</f>
        <v>2304</v>
      </c>
      <c r="G99" s="125"/>
      <c r="H99" s="126"/>
    </row>
    <row r="100" spans="1:8">
      <c r="A100" s="218">
        <v>11101</v>
      </c>
      <c r="B100" s="219" t="s">
        <v>91</v>
      </c>
      <c r="C100" s="223">
        <v>612611</v>
      </c>
      <c r="D100" s="225">
        <v>6.3426999999999997E-3</v>
      </c>
      <c r="E100" s="146"/>
      <c r="F100" s="302">
        <f>VLOOKUP(A100,'OPEB Amounts_Report'!$A$10:$A$321,1,FALSE)</f>
        <v>11101</v>
      </c>
      <c r="G100" s="125"/>
      <c r="H100" s="126"/>
    </row>
    <row r="101" spans="1:8">
      <c r="A101" s="220">
        <v>11102</v>
      </c>
      <c r="B101" s="221" t="s">
        <v>90</v>
      </c>
      <c r="C101" s="224">
        <v>192228</v>
      </c>
      <c r="D101" s="226">
        <v>1.9902000000000001E-3</v>
      </c>
      <c r="E101" s="146"/>
      <c r="F101" s="302">
        <f>VLOOKUP(A101,'OPEB Amounts_Report'!$A$10:$A$321,1,FALSE)</f>
        <v>11102</v>
      </c>
      <c r="G101" s="125"/>
      <c r="H101" s="126"/>
    </row>
    <row r="102" spans="1:8">
      <c r="A102" s="218">
        <v>3100</v>
      </c>
      <c r="B102" s="219" t="s">
        <v>92</v>
      </c>
      <c r="C102" s="223">
        <v>436619</v>
      </c>
      <c r="D102" s="225">
        <v>4.5205999999999996E-3</v>
      </c>
      <c r="E102" s="146"/>
      <c r="F102" s="302">
        <f>VLOOKUP(A102,'OPEB Amounts_Report'!$A$10:$A$321,1,FALSE)</f>
        <v>3100</v>
      </c>
      <c r="G102" s="125"/>
      <c r="H102" s="126"/>
    </row>
    <row r="103" spans="1:8">
      <c r="A103" s="220">
        <v>2323</v>
      </c>
      <c r="B103" s="221" t="s">
        <v>93</v>
      </c>
      <c r="C103" s="224">
        <v>41652</v>
      </c>
      <c r="D103" s="226">
        <v>4.3120000000000002E-4</v>
      </c>
      <c r="E103" s="146"/>
      <c r="F103" s="302">
        <f>VLOOKUP(A103,'OPEB Amounts_Report'!$A$10:$A$321,1,FALSE)</f>
        <v>2323</v>
      </c>
      <c r="G103" s="125"/>
      <c r="H103" s="126"/>
    </row>
    <row r="104" spans="1:8">
      <c r="A104" s="218">
        <v>11034</v>
      </c>
      <c r="B104" s="219" t="s">
        <v>94</v>
      </c>
      <c r="C104" s="223">
        <v>30297</v>
      </c>
      <c r="D104" s="225">
        <v>3.1369999999999998E-4</v>
      </c>
      <c r="E104" s="146"/>
      <c r="F104" s="302">
        <f>VLOOKUP(A104,'OPEB Amounts_Report'!$A$10:$A$321,1,FALSE)</f>
        <v>11034</v>
      </c>
      <c r="G104" s="125"/>
      <c r="H104" s="126"/>
    </row>
    <row r="105" spans="1:8">
      <c r="A105" s="220">
        <v>17054</v>
      </c>
      <c r="B105" s="249" t="s">
        <v>95</v>
      </c>
      <c r="C105" s="321">
        <v>468643</v>
      </c>
      <c r="D105" s="251">
        <v>4.8520999999999998E-3</v>
      </c>
      <c r="E105" s="146"/>
      <c r="F105" s="302">
        <f>VLOOKUP(A105,'OPEB Amounts_Report'!$A$10:$A$321,1,FALSE)</f>
        <v>17054</v>
      </c>
      <c r="G105" s="125"/>
      <c r="H105" s="126"/>
    </row>
    <row r="106" spans="1:8">
      <c r="A106" s="218">
        <v>22065</v>
      </c>
      <c r="B106" s="219" t="s">
        <v>96</v>
      </c>
      <c r="C106" s="223">
        <v>98016</v>
      </c>
      <c r="D106" s="225">
        <v>1.0147999999999999E-3</v>
      </c>
      <c r="E106" s="146"/>
      <c r="F106" s="302">
        <f>VLOOKUP(A106,'OPEB Amounts_Report'!$A$10:$A$321,1,FALSE)</f>
        <v>22065</v>
      </c>
      <c r="G106" s="125"/>
      <c r="H106" s="126"/>
    </row>
    <row r="107" spans="1:8">
      <c r="A107" s="220">
        <v>22201</v>
      </c>
      <c r="B107" s="221" t="s">
        <v>97</v>
      </c>
      <c r="C107" s="224">
        <v>48685</v>
      </c>
      <c r="D107" s="226">
        <v>5.0409999999999995E-4</v>
      </c>
      <c r="E107" s="146"/>
      <c r="F107" s="302">
        <f>VLOOKUP(A107,'OPEB Amounts_Report'!$A$10:$A$321,1,FALSE)</f>
        <v>22201</v>
      </c>
      <c r="G107" s="125"/>
      <c r="H107" s="126"/>
    </row>
    <row r="108" spans="1:8">
      <c r="A108" s="218">
        <v>6016</v>
      </c>
      <c r="B108" s="219" t="s">
        <v>98</v>
      </c>
      <c r="C108" s="223">
        <v>98819</v>
      </c>
      <c r="D108" s="225">
        <v>1.0231000000000001E-3</v>
      </c>
      <c r="E108" s="146"/>
      <c r="F108" s="302">
        <f>VLOOKUP(A108,'OPEB Amounts_Report'!$A$10:$A$321,1,FALSE)</f>
        <v>6016</v>
      </c>
      <c r="G108" s="125"/>
      <c r="H108" s="126"/>
    </row>
    <row r="109" spans="1:8">
      <c r="A109" s="220">
        <v>2432</v>
      </c>
      <c r="B109" s="221" t="s">
        <v>99</v>
      </c>
      <c r="C109" s="224">
        <v>70448</v>
      </c>
      <c r="D109" s="226">
        <v>7.2939999999999995E-4</v>
      </c>
      <c r="E109" s="146"/>
      <c r="F109" s="302">
        <f>VLOOKUP(A109,'OPEB Amounts_Report'!$A$10:$A$321,1,FALSE)</f>
        <v>2432</v>
      </c>
      <c r="G109" s="125"/>
      <c r="H109" s="126"/>
    </row>
    <row r="110" spans="1:8">
      <c r="A110" s="218">
        <v>16052</v>
      </c>
      <c r="B110" s="219" t="s">
        <v>100</v>
      </c>
      <c r="C110" s="223">
        <v>1301770</v>
      </c>
      <c r="D110" s="225">
        <v>1.3478E-2</v>
      </c>
      <c r="E110" s="146"/>
      <c r="F110" s="302">
        <f>VLOOKUP(A110,'OPEB Amounts_Report'!$A$10:$A$321,1,FALSE)</f>
        <v>16052</v>
      </c>
      <c r="G110" s="125"/>
      <c r="H110" s="126"/>
    </row>
    <row r="111" spans="1:8">
      <c r="A111" s="220">
        <v>11118</v>
      </c>
      <c r="B111" s="221" t="s">
        <v>101</v>
      </c>
      <c r="C111" s="224">
        <v>33844</v>
      </c>
      <c r="D111" s="226">
        <v>3.5040000000000001E-4</v>
      </c>
      <c r="E111" s="146"/>
      <c r="F111" s="302">
        <f>VLOOKUP(A111,'OPEB Amounts_Report'!$A$10:$A$321,1,FALSE)</f>
        <v>11118</v>
      </c>
      <c r="G111" s="125"/>
      <c r="H111" s="126"/>
    </row>
    <row r="112" spans="1:8">
      <c r="A112" s="218">
        <v>27083</v>
      </c>
      <c r="B112" s="219" t="s">
        <v>102</v>
      </c>
      <c r="C112" s="223">
        <v>53050</v>
      </c>
      <c r="D112" s="225">
        <v>5.4929999999999996E-4</v>
      </c>
      <c r="E112" s="146"/>
      <c r="F112" s="302">
        <f>VLOOKUP(A112,'OPEB Amounts_Report'!$A$10:$A$321,1,FALSE)</f>
        <v>27083</v>
      </c>
      <c r="G112" s="125"/>
      <c r="H112" s="126"/>
    </row>
    <row r="113" spans="1:8">
      <c r="A113" s="220">
        <v>7021</v>
      </c>
      <c r="B113" s="221" t="s">
        <v>103</v>
      </c>
      <c r="C113" s="224">
        <v>1768415</v>
      </c>
      <c r="D113" s="226">
        <v>1.83094E-2</v>
      </c>
      <c r="E113" s="146"/>
      <c r="F113" s="302">
        <f>VLOOKUP(A113,'OPEB Amounts_Report'!$A$10:$A$321,1,FALSE)</f>
        <v>7021</v>
      </c>
      <c r="G113" s="125"/>
      <c r="H113" s="126"/>
    </row>
    <row r="114" spans="1:8">
      <c r="A114" s="218">
        <v>4140</v>
      </c>
      <c r="B114" s="219" t="s">
        <v>104</v>
      </c>
      <c r="C114" s="223">
        <v>11523</v>
      </c>
      <c r="D114" s="225">
        <v>1.193E-4</v>
      </c>
      <c r="E114" s="146"/>
      <c r="F114" s="302">
        <f>VLOOKUP(A114,'OPEB Amounts_Report'!$A$10:$A$321,1,FALSE)</f>
        <v>4140</v>
      </c>
      <c r="G114" s="125"/>
      <c r="H114" s="126"/>
    </row>
    <row r="115" spans="1:8">
      <c r="A115" s="220">
        <v>13041</v>
      </c>
      <c r="B115" s="221" t="s">
        <v>105</v>
      </c>
      <c r="C115" s="224">
        <v>1567941</v>
      </c>
      <c r="D115" s="226">
        <v>1.62338E-2</v>
      </c>
      <c r="E115" s="146"/>
      <c r="F115" s="302">
        <f>VLOOKUP(A115,'OPEB Amounts_Report'!$A$10:$A$321,1,FALSE)</f>
        <v>13041</v>
      </c>
      <c r="G115" s="125"/>
      <c r="H115" s="126"/>
    </row>
    <row r="116" spans="1:8">
      <c r="A116" s="218">
        <v>2339</v>
      </c>
      <c r="B116" s="219" t="s">
        <v>106</v>
      </c>
      <c r="C116" s="223">
        <v>23093</v>
      </c>
      <c r="D116" s="225">
        <v>2.3910000000000001E-4</v>
      </c>
      <c r="E116" s="146"/>
      <c r="F116" s="302">
        <f>VLOOKUP(A116,'OPEB Amounts_Report'!$A$10:$A$321,1,FALSE)</f>
        <v>2339</v>
      </c>
      <c r="G116" s="125"/>
      <c r="H116" s="126"/>
    </row>
    <row r="117" spans="1:8">
      <c r="A117" s="220">
        <v>2362</v>
      </c>
      <c r="B117" s="221" t="s">
        <v>107</v>
      </c>
      <c r="C117" s="224">
        <v>29548</v>
      </c>
      <c r="D117" s="226">
        <v>3.0590000000000001E-4</v>
      </c>
      <c r="E117" s="146"/>
      <c r="F117" s="302">
        <f>VLOOKUP(A117,'OPEB Amounts_Report'!$A$10:$A$321,1,FALSE)</f>
        <v>2362</v>
      </c>
      <c r="G117" s="125"/>
      <c r="H117" s="126"/>
    </row>
    <row r="118" spans="1:8">
      <c r="A118" s="218">
        <v>5013</v>
      </c>
      <c r="B118" s="219" t="s">
        <v>108</v>
      </c>
      <c r="C118" s="223">
        <v>28320</v>
      </c>
      <c r="D118" s="225">
        <v>2.9320000000000003E-4</v>
      </c>
      <c r="E118" s="146"/>
      <c r="F118" s="302">
        <f>VLOOKUP(A118,'OPEB Amounts_Report'!$A$10:$A$321,1,FALSE)</f>
        <v>5013</v>
      </c>
      <c r="G118" s="125"/>
      <c r="H118" s="126"/>
    </row>
    <row r="119" spans="1:8">
      <c r="A119" s="220">
        <v>3110</v>
      </c>
      <c r="B119" s="221" t="s">
        <v>109</v>
      </c>
      <c r="C119" s="224">
        <v>142983</v>
      </c>
      <c r="D119" s="226">
        <v>1.4804E-3</v>
      </c>
      <c r="E119" s="146"/>
      <c r="F119" s="302">
        <f>VLOOKUP(A119,'OPEB Amounts_Report'!$A$10:$A$321,1,FALSE)</f>
        <v>3110</v>
      </c>
      <c r="G119" s="125"/>
      <c r="H119" s="126"/>
    </row>
    <row r="120" spans="1:8">
      <c r="A120" s="218">
        <v>14044</v>
      </c>
      <c r="B120" s="219" t="s">
        <v>110</v>
      </c>
      <c r="C120" s="223">
        <v>455420</v>
      </c>
      <c r="D120" s="225">
        <v>4.7152000000000001E-3</v>
      </c>
      <c r="E120" s="146"/>
      <c r="F120" s="302">
        <f>VLOOKUP(A120,'OPEB Amounts_Report'!$A$10:$A$321,1,FALSE)</f>
        <v>14044</v>
      </c>
      <c r="G120" s="125"/>
      <c r="H120" s="126"/>
    </row>
    <row r="121" spans="1:8">
      <c r="A121" s="220">
        <v>4009</v>
      </c>
      <c r="B121" s="221" t="s">
        <v>111</v>
      </c>
      <c r="C121" s="224">
        <v>60939</v>
      </c>
      <c r="D121" s="226">
        <v>6.3089999999999999E-4</v>
      </c>
      <c r="E121" s="146"/>
      <c r="F121" s="302">
        <f>VLOOKUP(A121,'OPEB Amounts_Report'!$A$10:$A$321,1,FALSE)</f>
        <v>4009</v>
      </c>
      <c r="G121" s="125"/>
      <c r="H121" s="126"/>
    </row>
    <row r="122" spans="1:8">
      <c r="A122" s="218">
        <v>7022</v>
      </c>
      <c r="B122" s="219" t="s">
        <v>112</v>
      </c>
      <c r="C122" s="223">
        <v>161161</v>
      </c>
      <c r="D122" s="225">
        <v>1.6685999999999999E-3</v>
      </c>
      <c r="E122" s="146"/>
      <c r="F122" s="302">
        <f>VLOOKUP(A122,'OPEB Amounts_Report'!$A$10:$A$321,1,FALSE)</f>
        <v>7022</v>
      </c>
      <c r="G122" s="125"/>
      <c r="H122" s="126"/>
    </row>
    <row r="123" spans="1:8">
      <c r="A123" s="220">
        <v>2430</v>
      </c>
      <c r="B123" s="221" t="s">
        <v>113</v>
      </c>
      <c r="C123" s="224">
        <v>24999</v>
      </c>
      <c r="D123" s="226">
        <v>2.588E-4</v>
      </c>
      <c r="E123" s="146"/>
      <c r="F123" s="302">
        <f>VLOOKUP(A123,'OPEB Amounts_Report'!$A$10:$A$321,1,FALSE)</f>
        <v>2430</v>
      </c>
      <c r="G123" s="125"/>
      <c r="H123" s="126"/>
    </row>
    <row r="124" spans="1:8" s="142" customFormat="1">
      <c r="A124" s="218">
        <v>9150</v>
      </c>
      <c r="B124" s="219" t="s">
        <v>114</v>
      </c>
      <c r="C124" s="223">
        <v>13383</v>
      </c>
      <c r="D124" s="225">
        <v>1.3860000000000001E-4</v>
      </c>
      <c r="E124" s="146"/>
      <c r="F124" s="302">
        <f>VLOOKUP(A124,'OPEB Amounts_Report'!$A$10:$A$321,1,FALSE)</f>
        <v>9150</v>
      </c>
      <c r="G124" s="125"/>
      <c r="H124" s="126"/>
    </row>
    <row r="125" spans="1:8">
      <c r="A125" s="220">
        <v>6017</v>
      </c>
      <c r="B125" s="221" t="s">
        <v>115</v>
      </c>
      <c r="C125" s="224">
        <v>1230189</v>
      </c>
      <c r="D125" s="226">
        <v>1.27368E-2</v>
      </c>
      <c r="E125" s="146"/>
      <c r="F125" s="302">
        <f>VLOOKUP(A125,'OPEB Amounts_Report'!$A$10:$A$321,1,FALSE)</f>
        <v>6017</v>
      </c>
      <c r="G125" s="125"/>
      <c r="H125" s="126"/>
    </row>
    <row r="126" spans="1:8">
      <c r="A126" s="218">
        <v>26080</v>
      </c>
      <c r="B126" s="219" t="s">
        <v>116</v>
      </c>
      <c r="C126" s="223">
        <v>33625</v>
      </c>
      <c r="D126" s="225">
        <v>3.481E-4</v>
      </c>
      <c r="E126" s="146"/>
      <c r="F126" s="302">
        <f>VLOOKUP(A126,'OPEB Amounts_Report'!$A$10:$A$321,1,FALSE)</f>
        <v>26080</v>
      </c>
      <c r="G126" s="125"/>
      <c r="H126" s="126"/>
    </row>
    <row r="127" spans="1:8">
      <c r="A127" s="220">
        <v>2327</v>
      </c>
      <c r="B127" s="221" t="s">
        <v>117</v>
      </c>
      <c r="C127" s="224">
        <v>41772</v>
      </c>
      <c r="D127" s="226">
        <v>4.325E-4</v>
      </c>
      <c r="E127" s="146"/>
      <c r="F127" s="302">
        <f>VLOOKUP(A127,'OPEB Amounts_Report'!$A$10:$A$321,1,FALSE)</f>
        <v>2327</v>
      </c>
      <c r="G127" s="125"/>
      <c r="H127" s="126"/>
    </row>
    <row r="128" spans="1:8">
      <c r="A128" s="218">
        <v>10119</v>
      </c>
      <c r="B128" s="219" t="s">
        <v>118</v>
      </c>
      <c r="C128" s="223">
        <v>23184</v>
      </c>
      <c r="D128" s="225">
        <v>2.4000000000000001E-4</v>
      </c>
      <c r="E128" s="146"/>
      <c r="F128" s="302">
        <f>VLOOKUP(A128,'OPEB Amounts_Report'!$A$10:$A$321,1,FALSE)</f>
        <v>10119</v>
      </c>
      <c r="G128" s="125"/>
      <c r="H128" s="126"/>
    </row>
    <row r="129" spans="1:8">
      <c r="A129" s="220">
        <v>573</v>
      </c>
      <c r="B129" s="221" t="s">
        <v>412</v>
      </c>
      <c r="C129" s="224">
        <v>37443</v>
      </c>
      <c r="D129" s="226">
        <v>3.8769999999999999E-4</v>
      </c>
      <c r="E129" s="146"/>
      <c r="F129" s="302">
        <f>VLOOKUP(A129,'OPEB Amounts_Report'!$A$10:$A$321,1,FALSE)</f>
        <v>573</v>
      </c>
      <c r="G129" s="125"/>
      <c r="H129" s="126"/>
    </row>
    <row r="130" spans="1:8">
      <c r="A130" s="218">
        <v>2368</v>
      </c>
      <c r="B130" s="219" t="s">
        <v>119</v>
      </c>
      <c r="C130" s="223">
        <v>48382</v>
      </c>
      <c r="D130" s="225">
        <v>5.0089999999999998E-4</v>
      </c>
      <c r="E130" s="146"/>
      <c r="F130" s="302">
        <f>VLOOKUP(A130,'OPEB Amounts_Report'!$A$10:$A$321,1,FALSE)</f>
        <v>2368</v>
      </c>
      <c r="G130" s="125"/>
      <c r="H130" s="126"/>
    </row>
    <row r="131" spans="1:8">
      <c r="A131" s="220">
        <v>7420</v>
      </c>
      <c r="B131" s="221" t="s">
        <v>120</v>
      </c>
      <c r="C131" s="224">
        <v>22926</v>
      </c>
      <c r="D131" s="226">
        <v>2.374E-4</v>
      </c>
      <c r="E131" s="146"/>
      <c r="F131" s="302">
        <f>VLOOKUP(A131,'OPEB Amounts_Report'!$A$10:$A$321,1,FALSE)</f>
        <v>7420</v>
      </c>
      <c r="G131" s="125"/>
      <c r="H131" s="126"/>
    </row>
    <row r="132" spans="1:8">
      <c r="A132" s="218">
        <v>6018</v>
      </c>
      <c r="B132" s="219" t="s">
        <v>121</v>
      </c>
      <c r="C132" s="223">
        <v>69881</v>
      </c>
      <c r="D132" s="225">
        <v>7.2349999999999997E-4</v>
      </c>
      <c r="E132" s="146"/>
      <c r="F132" s="302">
        <f>VLOOKUP(A132,'OPEB Amounts_Report'!$A$10:$A$321,1,FALSE)</f>
        <v>6018</v>
      </c>
      <c r="G132" s="125"/>
      <c r="H132" s="126"/>
    </row>
    <row r="133" spans="1:8">
      <c r="A133" s="220">
        <v>3321</v>
      </c>
      <c r="B133" s="221" t="s">
        <v>122</v>
      </c>
      <c r="C133" s="224">
        <v>29255</v>
      </c>
      <c r="D133" s="226">
        <v>3.0289999999999999E-4</v>
      </c>
      <c r="E133" s="146"/>
      <c r="F133" s="302">
        <f>VLOOKUP(A133,'OPEB Amounts_Report'!$A$10:$A$321,1,FALSE)</f>
        <v>3321</v>
      </c>
      <c r="G133" s="125"/>
      <c r="H133" s="126"/>
    </row>
    <row r="134" spans="1:8">
      <c r="A134" s="218">
        <v>29122</v>
      </c>
      <c r="B134" s="219" t="s">
        <v>123</v>
      </c>
      <c r="C134" s="223">
        <v>39038</v>
      </c>
      <c r="D134" s="225">
        <v>4.0420000000000001E-4</v>
      </c>
      <c r="E134" s="146"/>
      <c r="F134" s="302">
        <f>VLOOKUP(A134,'OPEB Amounts_Report'!$A$10:$A$321,1,FALSE)</f>
        <v>29122</v>
      </c>
      <c r="G134" s="125"/>
      <c r="H134" s="126"/>
    </row>
    <row r="135" spans="1:8">
      <c r="A135" s="220">
        <v>29088</v>
      </c>
      <c r="B135" s="221" t="s">
        <v>124</v>
      </c>
      <c r="C135" s="224">
        <v>52089</v>
      </c>
      <c r="D135" s="226">
        <v>5.3930000000000004E-4</v>
      </c>
      <c r="E135" s="146"/>
      <c r="F135" s="302">
        <f>VLOOKUP(A135,'OPEB Amounts_Report'!$A$10:$A$321,1,FALSE)</f>
        <v>29088</v>
      </c>
      <c r="G135" s="125"/>
      <c r="H135" s="126"/>
    </row>
    <row r="136" spans="1:8">
      <c r="A136" s="218">
        <v>7337</v>
      </c>
      <c r="B136" s="219" t="s">
        <v>125</v>
      </c>
      <c r="C136" s="320">
        <v>13422</v>
      </c>
      <c r="D136" s="225">
        <v>1.3899999999999999E-4</v>
      </c>
      <c r="E136" s="146"/>
      <c r="F136" s="302">
        <f>VLOOKUP(A136,'OPEB Amounts_Report'!$A$10:$A$321,1,FALSE)</f>
        <v>7337</v>
      </c>
      <c r="G136" s="125"/>
      <c r="H136" s="126"/>
    </row>
    <row r="137" spans="1:8">
      <c r="A137" s="220">
        <v>2329</v>
      </c>
      <c r="B137" s="221" t="s">
        <v>126</v>
      </c>
      <c r="C137" s="224">
        <v>42684</v>
      </c>
      <c r="D137" s="226">
        <v>4.4190000000000001E-4</v>
      </c>
      <c r="E137" s="146"/>
      <c r="F137" s="302">
        <f>VLOOKUP(A137,'OPEB Amounts_Report'!$A$10:$A$321,1,FALSE)</f>
        <v>2329</v>
      </c>
      <c r="G137" s="125"/>
      <c r="H137" s="126"/>
    </row>
    <row r="138" spans="1:8">
      <c r="A138" s="218">
        <v>17425</v>
      </c>
      <c r="B138" s="219" t="s">
        <v>128</v>
      </c>
      <c r="C138" s="223">
        <v>5512</v>
      </c>
      <c r="D138" s="225">
        <v>5.7099999999999999E-5</v>
      </c>
      <c r="E138" s="146"/>
      <c r="F138" s="302">
        <f>VLOOKUP(A138,'OPEB Amounts_Report'!$A$10:$A$321,1,FALSE)</f>
        <v>17425</v>
      </c>
      <c r="G138" s="125"/>
      <c r="H138" s="126"/>
    </row>
    <row r="139" spans="1:8">
      <c r="A139" s="220">
        <v>4010</v>
      </c>
      <c r="B139" s="221" t="s">
        <v>129</v>
      </c>
      <c r="C139" s="224">
        <v>24215</v>
      </c>
      <c r="D139" s="226">
        <v>2.5070000000000002E-4</v>
      </c>
      <c r="E139" s="146"/>
      <c r="F139" s="302">
        <f>VLOOKUP(A139,'OPEB Amounts_Report'!$A$10:$A$321,1,FALSE)</f>
        <v>4010</v>
      </c>
      <c r="G139" s="125"/>
      <c r="H139" s="126"/>
    </row>
    <row r="140" spans="1:8">
      <c r="A140" s="218">
        <v>7023</v>
      </c>
      <c r="B140" s="219" t="s">
        <v>446</v>
      </c>
      <c r="C140" s="223">
        <v>3057526</v>
      </c>
      <c r="D140" s="225">
        <v>3.1656299999999998E-2</v>
      </c>
      <c r="E140" s="146"/>
      <c r="F140" s="302">
        <f>VLOOKUP(A140,'OPEB Amounts_Report'!$A$10:$A$321,1,FALSE)</f>
        <v>7023</v>
      </c>
      <c r="G140" s="125"/>
      <c r="H140" s="126"/>
    </row>
    <row r="141" spans="1:8">
      <c r="A141" s="220">
        <v>7338</v>
      </c>
      <c r="B141" s="221" t="s">
        <v>131</v>
      </c>
      <c r="C141" s="224">
        <v>28005</v>
      </c>
      <c r="D141" s="226">
        <v>2.9E-4</v>
      </c>
      <c r="E141" s="146"/>
      <c r="F141" s="302">
        <f>VLOOKUP(A141,'OPEB Amounts_Report'!$A$10:$A$321,1,FALSE)</f>
        <v>7338</v>
      </c>
      <c r="G141" s="125"/>
      <c r="H141" s="126"/>
    </row>
    <row r="142" spans="1:8">
      <c r="A142" s="218">
        <v>12037</v>
      </c>
      <c r="B142" s="219" t="s">
        <v>132</v>
      </c>
      <c r="C142" s="223">
        <v>195073</v>
      </c>
      <c r="D142" s="225">
        <v>2.0197000000000001E-3</v>
      </c>
      <c r="E142" s="146"/>
      <c r="F142" s="302">
        <f>VLOOKUP(A142,'OPEB Amounts_Report'!$A$10:$A$321,1,FALSE)</f>
        <v>12037</v>
      </c>
      <c r="G142" s="125"/>
      <c r="H142" s="126"/>
    </row>
    <row r="143" spans="1:8">
      <c r="A143" s="220">
        <v>3150</v>
      </c>
      <c r="B143" s="221" t="s">
        <v>133</v>
      </c>
      <c r="C143" s="224">
        <v>360455</v>
      </c>
      <c r="D143" s="226">
        <v>3.7320000000000001E-3</v>
      </c>
      <c r="E143" s="146"/>
      <c r="F143" s="302">
        <f>VLOOKUP(A143,'OPEB Amounts_Report'!$A$10:$A$321,1,FALSE)</f>
        <v>3150</v>
      </c>
      <c r="G143" s="125"/>
      <c r="H143" s="126"/>
    </row>
    <row r="144" spans="1:8">
      <c r="A144" s="218">
        <v>3160</v>
      </c>
      <c r="B144" s="219" t="s">
        <v>134</v>
      </c>
      <c r="C144" s="223">
        <v>91409</v>
      </c>
      <c r="D144" s="225">
        <v>9.4640000000000002E-4</v>
      </c>
      <c r="E144" s="146"/>
      <c r="F144" s="302">
        <f>VLOOKUP(A144,'OPEB Amounts_Report'!$A$10:$A$321,1,FALSE)</f>
        <v>3160</v>
      </c>
      <c r="G144" s="125"/>
      <c r="H144" s="126"/>
    </row>
    <row r="145" spans="1:8">
      <c r="A145" s="220">
        <v>10120</v>
      </c>
      <c r="B145" s="221" t="s">
        <v>136</v>
      </c>
      <c r="C145" s="224">
        <v>45195</v>
      </c>
      <c r="D145" s="226">
        <v>4.6789999999999999E-4</v>
      </c>
      <c r="E145" s="146"/>
      <c r="F145" s="302">
        <f>VLOOKUP(A145,'OPEB Amounts_Report'!$A$10:$A$321,1,FALSE)</f>
        <v>10120</v>
      </c>
      <c r="G145" s="125"/>
      <c r="H145" s="126"/>
    </row>
    <row r="146" spans="1:8">
      <c r="A146" s="218">
        <v>23070</v>
      </c>
      <c r="B146" s="219" t="s">
        <v>137</v>
      </c>
      <c r="C146" s="223">
        <v>75791</v>
      </c>
      <c r="D146" s="225">
        <v>7.8470000000000005E-4</v>
      </c>
      <c r="E146" s="146"/>
      <c r="F146" s="302">
        <f>VLOOKUP(A146,'OPEB Amounts_Report'!$A$10:$A$321,1,FALSE)</f>
        <v>23070</v>
      </c>
      <c r="G146" s="125"/>
      <c r="H146" s="126"/>
    </row>
    <row r="147" spans="1:8">
      <c r="A147" s="220">
        <v>3170</v>
      </c>
      <c r="B147" s="221" t="s">
        <v>138</v>
      </c>
      <c r="C147" s="224">
        <v>912309</v>
      </c>
      <c r="D147" s="226">
        <v>9.4456000000000002E-3</v>
      </c>
      <c r="E147" s="146"/>
      <c r="F147" s="302">
        <f>VLOOKUP(A147,'OPEB Amounts_Report'!$A$10:$A$321,1,FALSE)</f>
        <v>3170</v>
      </c>
      <c r="G147" s="125"/>
      <c r="H147" s="126"/>
    </row>
    <row r="148" spans="1:8">
      <c r="A148" s="218">
        <v>32093</v>
      </c>
      <c r="B148" s="219" t="s">
        <v>139</v>
      </c>
      <c r="C148" s="223">
        <v>586168</v>
      </c>
      <c r="D148" s="225">
        <v>6.0689000000000003E-3</v>
      </c>
      <c r="E148" s="146"/>
      <c r="F148" s="302">
        <f>VLOOKUP(A148,'OPEB Amounts_Report'!$A$10:$A$321,1,FALSE)</f>
        <v>32093</v>
      </c>
      <c r="G148" s="125"/>
      <c r="H148" s="126"/>
    </row>
    <row r="149" spans="1:8">
      <c r="A149" s="220">
        <v>14045</v>
      </c>
      <c r="B149" s="221" t="s">
        <v>140</v>
      </c>
      <c r="C149" s="224">
        <v>1012205</v>
      </c>
      <c r="D149" s="226">
        <v>1.04799E-2</v>
      </c>
      <c r="E149" s="146"/>
      <c r="F149" s="302">
        <f>VLOOKUP(A149,'OPEB Amounts_Report'!$A$10:$A$321,1,FALSE)</f>
        <v>14045</v>
      </c>
      <c r="G149" s="125"/>
      <c r="H149" s="126"/>
    </row>
    <row r="150" spans="1:8">
      <c r="A150" s="218">
        <v>2322</v>
      </c>
      <c r="B150" s="219" t="s">
        <v>141</v>
      </c>
      <c r="C150" s="223">
        <v>23212</v>
      </c>
      <c r="D150" s="225">
        <v>2.4030000000000001E-4</v>
      </c>
      <c r="E150" s="146"/>
      <c r="F150" s="302">
        <f>VLOOKUP(A150,'OPEB Amounts_Report'!$A$10:$A$321,1,FALSE)</f>
        <v>2322</v>
      </c>
      <c r="G150" s="125"/>
      <c r="H150" s="126"/>
    </row>
    <row r="151" spans="1:8">
      <c r="A151" s="220">
        <v>3006</v>
      </c>
      <c r="B151" s="221" t="s">
        <v>142</v>
      </c>
      <c r="C151" s="224">
        <v>87165</v>
      </c>
      <c r="D151" s="226">
        <v>9.0249999999999998E-4</v>
      </c>
      <c r="E151" s="146"/>
      <c r="F151" s="302">
        <f>VLOOKUP(A151,'OPEB Amounts_Report'!$A$10:$A$321,1,FALSE)</f>
        <v>3006</v>
      </c>
      <c r="G151" s="125"/>
      <c r="H151" s="126"/>
    </row>
    <row r="152" spans="1:8">
      <c r="A152" s="218">
        <v>6019</v>
      </c>
      <c r="B152" s="219" t="s">
        <v>143</v>
      </c>
      <c r="C152" s="223">
        <v>448933</v>
      </c>
      <c r="D152" s="225">
        <v>4.6480999999999996E-3</v>
      </c>
      <c r="E152" s="146"/>
      <c r="F152" s="302">
        <f>VLOOKUP(A152,'OPEB Amounts_Report'!$A$10:$A$321,1,FALSE)</f>
        <v>6019</v>
      </c>
      <c r="G152" s="125"/>
      <c r="H152" s="126"/>
    </row>
    <row r="153" spans="1:8">
      <c r="A153" s="220">
        <v>12128</v>
      </c>
      <c r="B153" s="249" t="s">
        <v>144</v>
      </c>
      <c r="C153" s="321">
        <v>113598</v>
      </c>
      <c r="D153" s="251">
        <v>1.1761E-3</v>
      </c>
      <c r="E153" s="146"/>
      <c r="F153" s="302">
        <f>VLOOKUP(A153,'OPEB Amounts_Report'!$A$10:$A$321,1,FALSE)</f>
        <v>12128</v>
      </c>
      <c r="G153" s="125"/>
      <c r="H153" s="126"/>
    </row>
    <row r="154" spans="1:8">
      <c r="A154" s="218">
        <v>3180</v>
      </c>
      <c r="B154" s="219" t="s">
        <v>145</v>
      </c>
      <c r="C154" s="223">
        <v>171701</v>
      </c>
      <c r="D154" s="225">
        <v>1.7776999999999999E-3</v>
      </c>
      <c r="E154" s="146"/>
      <c r="F154" s="302">
        <f>VLOOKUP(A154,'OPEB Amounts_Report'!$A$10:$A$321,1,FALSE)</f>
        <v>3180</v>
      </c>
      <c r="G154" s="125"/>
      <c r="H154" s="126"/>
    </row>
    <row r="155" spans="1:8">
      <c r="A155" s="220">
        <v>25075</v>
      </c>
      <c r="B155" s="221" t="s">
        <v>146</v>
      </c>
      <c r="C155" s="224">
        <v>69964</v>
      </c>
      <c r="D155" s="226">
        <v>7.2440000000000004E-4</v>
      </c>
      <c r="E155" s="146"/>
      <c r="F155" s="302">
        <f>VLOOKUP(A155,'OPEB Amounts_Report'!$A$10:$A$321,1,FALSE)</f>
        <v>25075</v>
      </c>
      <c r="G155" s="125"/>
      <c r="H155" s="126"/>
    </row>
    <row r="156" spans="1:8">
      <c r="A156" s="218">
        <v>2311</v>
      </c>
      <c r="B156" s="219" t="s">
        <v>447</v>
      </c>
      <c r="C156" s="223">
        <v>25958</v>
      </c>
      <c r="D156" s="225">
        <v>2.6879999999999997E-4</v>
      </c>
      <c r="E156" s="146"/>
      <c r="F156" s="302">
        <f>VLOOKUP(A156,'OPEB Amounts_Report'!$A$10:$A$321,1,FALSE)</f>
        <v>2311</v>
      </c>
      <c r="G156" s="125"/>
      <c r="H156" s="126"/>
    </row>
    <row r="157" spans="1:8">
      <c r="A157" s="220">
        <v>9028</v>
      </c>
      <c r="B157" s="221" t="s">
        <v>147</v>
      </c>
      <c r="C157" s="224">
        <v>27669</v>
      </c>
      <c r="D157" s="226">
        <v>2.8650000000000003E-4</v>
      </c>
      <c r="E157" s="146"/>
      <c r="F157" s="302">
        <f>VLOOKUP(A157,'OPEB Amounts_Report'!$A$10:$A$321,1,FALSE)</f>
        <v>9028</v>
      </c>
      <c r="G157" s="125"/>
      <c r="H157" s="126"/>
    </row>
    <row r="158" spans="1:8" s="142" customFormat="1">
      <c r="A158" s="218">
        <v>17424</v>
      </c>
      <c r="B158" s="219" t="s">
        <v>148</v>
      </c>
      <c r="C158" s="223">
        <v>49863</v>
      </c>
      <c r="D158" s="225">
        <v>5.1630000000000003E-4</v>
      </c>
      <c r="E158" s="146"/>
      <c r="F158" s="302">
        <f>VLOOKUP(A158,'OPEB Amounts_Report'!$A$10:$A$321,1,FALSE)</f>
        <v>17424</v>
      </c>
      <c r="G158" s="125"/>
      <c r="H158" s="126"/>
    </row>
    <row r="159" spans="1:8">
      <c r="A159" s="220">
        <v>3200</v>
      </c>
      <c r="B159" s="221" t="s">
        <v>149</v>
      </c>
      <c r="C159" s="224">
        <v>199613</v>
      </c>
      <c r="D159" s="226">
        <v>2.0666999999999999E-3</v>
      </c>
      <c r="E159" s="146"/>
      <c r="F159" s="302">
        <f>VLOOKUP(A159,'OPEB Amounts_Report'!$A$10:$A$321,1,FALSE)</f>
        <v>3200</v>
      </c>
      <c r="G159" s="125"/>
      <c r="H159" s="126"/>
    </row>
    <row r="160" spans="1:8">
      <c r="A160" s="218">
        <v>2365</v>
      </c>
      <c r="B160" s="219" t="s">
        <v>150</v>
      </c>
      <c r="C160" s="223">
        <v>31994</v>
      </c>
      <c r="D160" s="225">
        <v>3.3129999999999998E-4</v>
      </c>
      <c r="E160" s="146"/>
      <c r="F160" s="302">
        <f>VLOOKUP(A160,'OPEB Amounts_Report'!$A$10:$A$321,1,FALSE)</f>
        <v>2365</v>
      </c>
      <c r="G160" s="125"/>
      <c r="H160" s="126"/>
    </row>
    <row r="161" spans="1:8">
      <c r="A161" s="220">
        <v>5014</v>
      </c>
      <c r="B161" s="221" t="s">
        <v>151</v>
      </c>
      <c r="C161" s="224">
        <v>38117</v>
      </c>
      <c r="D161" s="226">
        <v>3.946E-4</v>
      </c>
      <c r="E161" s="146"/>
      <c r="F161" s="302">
        <f>VLOOKUP(A161,'OPEB Amounts_Report'!$A$10:$A$321,1,FALSE)</f>
        <v>5014</v>
      </c>
      <c r="G161" s="125"/>
      <c r="H161" s="126"/>
    </row>
    <row r="162" spans="1:8">
      <c r="A162" s="218">
        <v>17127</v>
      </c>
      <c r="B162" s="219" t="s">
        <v>152</v>
      </c>
      <c r="C162" s="223">
        <v>40519</v>
      </c>
      <c r="D162" s="225">
        <v>4.1950000000000001E-4</v>
      </c>
      <c r="E162" s="146"/>
      <c r="F162" s="302">
        <f>VLOOKUP(A162,'OPEB Amounts_Report'!$A$10:$A$321,1,FALSE)</f>
        <v>17127</v>
      </c>
      <c r="G162" s="125"/>
      <c r="H162" s="126"/>
    </row>
    <row r="163" spans="1:8">
      <c r="A163" s="220">
        <v>10141</v>
      </c>
      <c r="B163" s="221" t="s">
        <v>153</v>
      </c>
      <c r="C163" s="224">
        <v>59822</v>
      </c>
      <c r="D163" s="226">
        <v>6.1939999999999999E-4</v>
      </c>
      <c r="E163" s="146"/>
      <c r="F163" s="302">
        <f>VLOOKUP(A163,'OPEB Amounts_Report'!$A$10:$A$321,1,FALSE)</f>
        <v>10141</v>
      </c>
      <c r="G163" s="125"/>
      <c r="H163" s="126"/>
    </row>
    <row r="164" spans="1:8">
      <c r="A164" s="218">
        <v>13369</v>
      </c>
      <c r="B164" s="219" t="s">
        <v>154</v>
      </c>
      <c r="C164" s="223">
        <v>12856</v>
      </c>
      <c r="D164" s="225">
        <v>1.3310000000000001E-4</v>
      </c>
      <c r="E164" s="146"/>
      <c r="F164" s="302">
        <f>VLOOKUP(A164,'OPEB Amounts_Report'!$A$10:$A$321,1,FALSE)</f>
        <v>13369</v>
      </c>
      <c r="G164" s="125"/>
      <c r="H164" s="126"/>
    </row>
    <row r="165" spans="1:8">
      <c r="A165" s="220">
        <v>4570</v>
      </c>
      <c r="B165" s="221" t="s">
        <v>413</v>
      </c>
      <c r="C165" s="224">
        <v>141885</v>
      </c>
      <c r="D165" s="226">
        <v>1.469E-3</v>
      </c>
      <c r="E165" s="146"/>
      <c r="F165" s="302">
        <f>VLOOKUP(A165,'OPEB Amounts_Report'!$A$10:$A$321,1,FALSE)</f>
        <v>4570</v>
      </c>
      <c r="G165" s="125"/>
      <c r="H165" s="126"/>
    </row>
    <row r="166" spans="1:8">
      <c r="A166" s="218">
        <v>2425</v>
      </c>
      <c r="B166" s="219" t="s">
        <v>155</v>
      </c>
      <c r="C166" s="223">
        <v>168287</v>
      </c>
      <c r="D166" s="225">
        <v>1.7424000000000001E-3</v>
      </c>
      <c r="E166" s="146"/>
      <c r="F166" s="302">
        <f>VLOOKUP(A166,'OPEB Amounts_Report'!$A$10:$A$321,1,FALSE)</f>
        <v>2425</v>
      </c>
      <c r="G166" s="125"/>
      <c r="H166" s="126"/>
    </row>
    <row r="167" spans="1:8">
      <c r="A167" s="220">
        <v>1306</v>
      </c>
      <c r="B167" s="221" t="s">
        <v>156</v>
      </c>
      <c r="C167" s="224">
        <v>45696</v>
      </c>
      <c r="D167" s="226">
        <v>4.7310000000000001E-4</v>
      </c>
      <c r="E167" s="146"/>
      <c r="F167" s="302">
        <f>VLOOKUP(A167,'OPEB Amounts_Report'!$A$10:$A$321,1,FALSE)</f>
        <v>1306</v>
      </c>
      <c r="G167" s="125"/>
      <c r="H167" s="126"/>
    </row>
    <row r="168" spans="1:8">
      <c r="A168" s="218">
        <v>2351</v>
      </c>
      <c r="B168" s="219" t="s">
        <v>157</v>
      </c>
      <c r="C168" s="223">
        <v>36232</v>
      </c>
      <c r="D168" s="225">
        <v>3.7510000000000001E-4</v>
      </c>
      <c r="E168" s="146"/>
      <c r="F168" s="302">
        <f>VLOOKUP(A168,'OPEB Amounts_Report'!$A$10:$A$321,1,FALSE)</f>
        <v>2351</v>
      </c>
      <c r="G168" s="125"/>
      <c r="H168" s="126"/>
    </row>
    <row r="169" spans="1:8">
      <c r="A169" s="220">
        <v>2334</v>
      </c>
      <c r="B169" s="221" t="s">
        <v>158</v>
      </c>
      <c r="C169" s="224">
        <v>26023</v>
      </c>
      <c r="D169" s="226">
        <v>2.6939999999999999E-4</v>
      </c>
      <c r="E169" s="146"/>
      <c r="F169" s="302">
        <f>VLOOKUP(A169,'OPEB Amounts_Report'!$A$10:$A$321,1,FALSE)</f>
        <v>2334</v>
      </c>
      <c r="G169" s="125"/>
      <c r="H169" s="126"/>
    </row>
    <row r="170" spans="1:8">
      <c r="A170" s="218">
        <v>30089</v>
      </c>
      <c r="B170" s="219" t="s">
        <v>159</v>
      </c>
      <c r="C170" s="223">
        <v>79338</v>
      </c>
      <c r="D170" s="225">
        <v>8.2140000000000002E-4</v>
      </c>
      <c r="E170" s="146"/>
      <c r="F170" s="302">
        <f>VLOOKUP(A170,'OPEB Amounts_Report'!$A$10:$A$321,1,FALSE)</f>
        <v>30089</v>
      </c>
      <c r="G170" s="125"/>
      <c r="H170" s="126"/>
    </row>
    <row r="171" spans="1:8">
      <c r="A171" s="220">
        <v>9324</v>
      </c>
      <c r="B171" s="221" t="s">
        <v>160</v>
      </c>
      <c r="C171" s="224">
        <v>11463</v>
      </c>
      <c r="D171" s="226">
        <v>1.187E-4</v>
      </c>
      <c r="E171" s="146"/>
      <c r="F171" s="302">
        <f>VLOOKUP(A171,'OPEB Amounts_Report'!$A$10:$A$321,1,FALSE)</f>
        <v>9324</v>
      </c>
      <c r="G171" s="125"/>
      <c r="H171" s="126"/>
    </row>
    <row r="172" spans="1:8">
      <c r="A172" s="218">
        <v>22066</v>
      </c>
      <c r="B172" s="219" t="s">
        <v>161</v>
      </c>
      <c r="C172" s="223">
        <v>305780</v>
      </c>
      <c r="D172" s="225">
        <v>3.1659000000000001E-3</v>
      </c>
      <c r="E172" s="146"/>
      <c r="F172" s="302">
        <f>VLOOKUP(A172,'OPEB Amounts_Report'!$A$10:$A$321,1,FALSE)</f>
        <v>22066</v>
      </c>
      <c r="G172" s="125"/>
      <c r="H172" s="126"/>
    </row>
    <row r="173" spans="1:8">
      <c r="A173" s="220">
        <v>16356</v>
      </c>
      <c r="B173" s="221" t="s">
        <v>162</v>
      </c>
      <c r="C173" s="224">
        <v>19050</v>
      </c>
      <c r="D173" s="226">
        <v>1.972E-4</v>
      </c>
      <c r="E173" s="146"/>
      <c r="F173" s="302">
        <f>VLOOKUP(A173,'OPEB Amounts_Report'!$A$10:$A$321,1,FALSE)</f>
        <v>16356</v>
      </c>
      <c r="G173" s="125"/>
      <c r="H173" s="126"/>
    </row>
    <row r="174" spans="1:8">
      <c r="A174" s="218">
        <v>31091</v>
      </c>
      <c r="B174" s="219" t="s">
        <v>163</v>
      </c>
      <c r="C174" s="223">
        <v>18105</v>
      </c>
      <c r="D174" s="225">
        <v>1.875E-4</v>
      </c>
      <c r="E174" s="146"/>
      <c r="F174" s="302">
        <f>VLOOKUP(A174,'OPEB Amounts_Report'!$A$10:$A$321,1,FALSE)</f>
        <v>31091</v>
      </c>
      <c r="G174" s="125"/>
      <c r="H174" s="126"/>
    </row>
    <row r="175" spans="1:8">
      <c r="A175" s="220">
        <v>2342</v>
      </c>
      <c r="B175" s="221" t="s">
        <v>164</v>
      </c>
      <c r="C175" s="224">
        <v>28804</v>
      </c>
      <c r="D175" s="226">
        <v>2.9819999999999998E-4</v>
      </c>
      <c r="E175" s="146"/>
      <c r="F175" s="302">
        <f>VLOOKUP(A175,'OPEB Amounts_Report'!$A$10:$A$321,1,FALSE)</f>
        <v>2342</v>
      </c>
      <c r="G175" s="125"/>
      <c r="H175" s="126"/>
    </row>
    <row r="176" spans="1:8">
      <c r="A176" s="218">
        <v>22067</v>
      </c>
      <c r="B176" s="219" t="s">
        <v>165</v>
      </c>
      <c r="C176" s="223">
        <v>42607</v>
      </c>
      <c r="D176" s="225">
        <v>4.4109999999999999E-4</v>
      </c>
      <c r="E176" s="146"/>
      <c r="F176" s="302">
        <f>VLOOKUP(A176,'OPEB Amounts_Report'!$A$10:$A$321,1,FALSE)</f>
        <v>22067</v>
      </c>
      <c r="G176" s="125"/>
      <c r="H176" s="126"/>
    </row>
    <row r="177" spans="1:8">
      <c r="A177" s="220">
        <v>32112</v>
      </c>
      <c r="B177" s="221" t="s">
        <v>166</v>
      </c>
      <c r="C177" s="224">
        <v>25172</v>
      </c>
      <c r="D177" s="226">
        <v>2.6059999999999999E-4</v>
      </c>
      <c r="E177" s="146"/>
      <c r="F177" s="302">
        <f>VLOOKUP(A177,'OPEB Amounts_Report'!$A$10:$A$321,1,FALSE)</f>
        <v>32112</v>
      </c>
      <c r="G177" s="125"/>
      <c r="H177" s="126"/>
    </row>
    <row r="178" spans="1:8">
      <c r="A178" s="218">
        <v>2354</v>
      </c>
      <c r="B178" s="219" t="s">
        <v>167</v>
      </c>
      <c r="C178" s="223">
        <v>65648</v>
      </c>
      <c r="D178" s="225">
        <v>6.7969999999999999E-4</v>
      </c>
      <c r="E178" s="146"/>
      <c r="F178" s="302">
        <f>VLOOKUP(A178,'OPEB Amounts_Report'!$A$10:$A$321,1,FALSE)</f>
        <v>2354</v>
      </c>
      <c r="G178" s="125"/>
      <c r="H178" s="126"/>
    </row>
    <row r="179" spans="1:8">
      <c r="A179" s="220">
        <v>2148</v>
      </c>
      <c r="B179" s="221" t="s">
        <v>168</v>
      </c>
      <c r="C179" s="224">
        <v>23392</v>
      </c>
      <c r="D179" s="226">
        <v>2.4220000000000001E-4</v>
      </c>
      <c r="E179" s="146"/>
      <c r="F179" s="302">
        <f>VLOOKUP(A179,'OPEB Amounts_Report'!$A$10:$A$321,1,FALSE)</f>
        <v>2148</v>
      </c>
      <c r="G179" s="125"/>
      <c r="H179" s="126"/>
    </row>
    <row r="180" spans="1:8">
      <c r="A180" s="218">
        <v>1418</v>
      </c>
      <c r="B180" s="219" t="s">
        <v>169</v>
      </c>
      <c r="C180" s="223">
        <v>90250</v>
      </c>
      <c r="D180" s="225">
        <v>9.3440000000000005E-4</v>
      </c>
      <c r="E180" s="146"/>
      <c r="F180" s="302">
        <f>VLOOKUP(A180,'OPEB Amounts_Report'!$A$10:$A$321,1,FALSE)</f>
        <v>1418</v>
      </c>
      <c r="G180" s="125"/>
      <c r="H180" s="126"/>
    </row>
    <row r="181" spans="1:8">
      <c r="A181" s="220">
        <v>12102</v>
      </c>
      <c r="B181" s="221" t="s">
        <v>170</v>
      </c>
      <c r="C181" s="224">
        <v>511449</v>
      </c>
      <c r="D181" s="226">
        <v>5.2953000000000002E-3</v>
      </c>
      <c r="E181" s="146"/>
      <c r="F181" s="302">
        <f>VLOOKUP(A181,'OPEB Amounts_Report'!$A$10:$A$321,1,FALSE)</f>
        <v>12102</v>
      </c>
      <c r="G181" s="125"/>
      <c r="H181" s="126"/>
    </row>
    <row r="182" spans="1:8">
      <c r="A182" s="218">
        <v>2414</v>
      </c>
      <c r="B182" s="219" t="s">
        <v>171</v>
      </c>
      <c r="C182" s="223">
        <v>38799</v>
      </c>
      <c r="D182" s="225">
        <v>4.0170000000000001E-4</v>
      </c>
      <c r="E182" s="146"/>
      <c r="F182" s="302">
        <f>VLOOKUP(A182,'OPEB Amounts_Report'!$A$10:$A$321,1,FALSE)</f>
        <v>2414</v>
      </c>
      <c r="G182" s="125"/>
      <c r="H182" s="126"/>
    </row>
    <row r="183" spans="1:8">
      <c r="A183" s="220">
        <v>6124</v>
      </c>
      <c r="B183" s="221" t="s">
        <v>172</v>
      </c>
      <c r="C183" s="224">
        <v>240583</v>
      </c>
      <c r="D183" s="226">
        <v>2.4908999999999999E-3</v>
      </c>
      <c r="E183" s="146"/>
      <c r="F183" s="302">
        <f>VLOOKUP(A183,'OPEB Amounts_Report'!$A$10:$A$321,1,FALSE)</f>
        <v>6124</v>
      </c>
      <c r="G183" s="125"/>
      <c r="H183" s="126"/>
    </row>
    <row r="184" spans="1:8">
      <c r="A184" s="218">
        <v>4097</v>
      </c>
      <c r="B184" s="219" t="s">
        <v>173</v>
      </c>
      <c r="C184" s="223">
        <v>284708</v>
      </c>
      <c r="D184" s="225">
        <v>2.9477000000000001E-3</v>
      </c>
      <c r="E184" s="146"/>
      <c r="F184" s="302">
        <f>VLOOKUP(A184,'OPEB Amounts_Report'!$A$10:$A$321,1,FALSE)</f>
        <v>4097</v>
      </c>
      <c r="G184" s="125"/>
      <c r="H184" s="126"/>
    </row>
    <row r="185" spans="1:8">
      <c r="A185" s="220">
        <v>1416</v>
      </c>
      <c r="B185" s="221" t="s">
        <v>174</v>
      </c>
      <c r="C185" s="224">
        <v>35089</v>
      </c>
      <c r="D185" s="226">
        <v>3.6329999999999999E-4</v>
      </c>
      <c r="E185" s="146"/>
      <c r="F185" s="302">
        <f>VLOOKUP(A185,'OPEB Amounts_Report'!$A$10:$A$321,1,FALSE)</f>
        <v>1416</v>
      </c>
      <c r="G185" s="125"/>
      <c r="H185" s="126"/>
    </row>
    <row r="186" spans="1:8">
      <c r="A186" s="218">
        <v>1094</v>
      </c>
      <c r="B186" s="219" t="s">
        <v>175</v>
      </c>
      <c r="C186" s="223">
        <v>212632</v>
      </c>
      <c r="D186" s="225">
        <v>2.2014999999999999E-3</v>
      </c>
      <c r="E186" s="146"/>
      <c r="F186" s="302">
        <f>VLOOKUP(A186,'OPEB Amounts_Report'!$A$10:$A$321,1,FALSE)</f>
        <v>1094</v>
      </c>
      <c r="G186" s="125"/>
      <c r="H186" s="126"/>
    </row>
    <row r="187" spans="1:8">
      <c r="A187" s="220">
        <v>32111</v>
      </c>
      <c r="B187" s="221" t="s">
        <v>176</v>
      </c>
      <c r="C187" s="224">
        <v>195114</v>
      </c>
      <c r="D187" s="226">
        <v>2.0200999999999999E-3</v>
      </c>
      <c r="E187" s="146"/>
      <c r="F187" s="302">
        <f>VLOOKUP(A187,'OPEB Amounts_Report'!$A$10:$A$321,1,FALSE)</f>
        <v>32111</v>
      </c>
      <c r="G187" s="125"/>
      <c r="H187" s="126"/>
    </row>
    <row r="188" spans="1:8">
      <c r="A188" s="218">
        <v>2520</v>
      </c>
      <c r="B188" s="219" t="s">
        <v>177</v>
      </c>
      <c r="C188" s="223">
        <v>26981</v>
      </c>
      <c r="D188" s="225">
        <v>2.7930000000000001E-4</v>
      </c>
      <c r="E188" s="146"/>
      <c r="F188" s="302">
        <f>VLOOKUP(A188,'OPEB Amounts_Report'!$A$10:$A$321,1,FALSE)</f>
        <v>2520</v>
      </c>
      <c r="G188" s="125"/>
      <c r="H188" s="126"/>
    </row>
    <row r="189" spans="1:8">
      <c r="A189" s="220">
        <v>3450</v>
      </c>
      <c r="B189" s="221" t="s">
        <v>178</v>
      </c>
      <c r="C189" s="224">
        <v>55012</v>
      </c>
      <c r="D189" s="226">
        <v>5.6959999999999997E-4</v>
      </c>
      <c r="E189" s="146"/>
      <c r="F189" s="302">
        <f>VLOOKUP(A189,'OPEB Amounts_Report'!$A$10:$A$321,1,FALSE)</f>
        <v>3450</v>
      </c>
      <c r="G189" s="125"/>
      <c r="H189" s="126"/>
    </row>
    <row r="190" spans="1:8">
      <c r="A190" s="218">
        <v>4310</v>
      </c>
      <c r="B190" s="219" t="s">
        <v>179</v>
      </c>
      <c r="C190" s="223">
        <v>31433</v>
      </c>
      <c r="D190" s="225">
        <v>3.2539999999999999E-4</v>
      </c>
      <c r="E190" s="146"/>
      <c r="F190" s="302">
        <f>VLOOKUP(A190,'OPEB Amounts_Report'!$A$10:$A$321,1,FALSE)</f>
        <v>4310</v>
      </c>
      <c r="G190" s="125"/>
      <c r="H190" s="126"/>
    </row>
    <row r="191" spans="1:8">
      <c r="A191" s="220">
        <v>2328</v>
      </c>
      <c r="B191" s="221" t="s">
        <v>180</v>
      </c>
      <c r="C191" s="224">
        <v>51190</v>
      </c>
      <c r="D191" s="226">
        <v>5.2999999999999998E-4</v>
      </c>
      <c r="E191" s="146"/>
      <c r="F191" s="302">
        <f>VLOOKUP(A191,'OPEB Amounts_Report'!$A$10:$A$321,1,FALSE)</f>
        <v>2328</v>
      </c>
      <c r="G191" s="125"/>
      <c r="H191" s="126"/>
    </row>
    <row r="192" spans="1:8">
      <c r="A192" s="218">
        <v>12151</v>
      </c>
      <c r="B192" s="219" t="s">
        <v>181</v>
      </c>
      <c r="C192" s="223">
        <v>16919</v>
      </c>
      <c r="D192" s="225">
        <v>1.752E-4</v>
      </c>
      <c r="E192" s="146"/>
      <c r="F192" s="302">
        <f>VLOOKUP(A192,'OPEB Amounts_Report'!$A$10:$A$321,1,FALSE)</f>
        <v>12151</v>
      </c>
      <c r="G192" s="125"/>
      <c r="H192" s="126"/>
    </row>
    <row r="193" spans="1:8">
      <c r="A193" s="220">
        <v>32110</v>
      </c>
      <c r="B193" s="221" t="s">
        <v>182</v>
      </c>
      <c r="C193" s="224">
        <v>195590</v>
      </c>
      <c r="D193" s="226">
        <v>2.0251000000000002E-3</v>
      </c>
      <c r="E193" s="146"/>
      <c r="F193" s="302">
        <f>VLOOKUP(A193,'OPEB Amounts_Report'!$A$10:$A$321,1,FALSE)</f>
        <v>32110</v>
      </c>
      <c r="G193" s="125"/>
      <c r="H193" s="126"/>
    </row>
    <row r="194" spans="1:8">
      <c r="A194" s="218">
        <v>4215</v>
      </c>
      <c r="B194" s="219" t="s">
        <v>183</v>
      </c>
      <c r="C194" s="223">
        <v>2860</v>
      </c>
      <c r="D194" s="225">
        <v>2.9600000000000001E-5</v>
      </c>
      <c r="E194" s="146"/>
      <c r="F194" s="302">
        <f>VLOOKUP(A194,'OPEB Amounts_Report'!$A$10:$A$321,1,FALSE)</f>
        <v>4215</v>
      </c>
      <c r="G194" s="125"/>
      <c r="H194" s="126"/>
    </row>
    <row r="195" spans="1:8">
      <c r="A195" s="220">
        <v>2870</v>
      </c>
      <c r="B195" s="221" t="s">
        <v>184</v>
      </c>
      <c r="C195" s="224">
        <v>31130</v>
      </c>
      <c r="D195" s="226">
        <v>3.2229999999999997E-4</v>
      </c>
      <c r="E195" s="146"/>
      <c r="F195" s="302">
        <f>VLOOKUP(A195,'OPEB Amounts_Report'!$A$10:$A$321,1,FALSE)</f>
        <v>2870</v>
      </c>
      <c r="G195" s="125"/>
      <c r="H195" s="126"/>
    </row>
    <row r="196" spans="1:8">
      <c r="A196" s="218">
        <v>29150</v>
      </c>
      <c r="B196" s="219" t="s">
        <v>185</v>
      </c>
      <c r="C196" s="223">
        <v>9501</v>
      </c>
      <c r="D196" s="225">
        <v>9.8400000000000007E-5</v>
      </c>
      <c r="E196" s="146"/>
      <c r="F196" s="302">
        <f>VLOOKUP(A196,'OPEB Amounts_Report'!$A$10:$A$321,1,FALSE)</f>
        <v>29150</v>
      </c>
      <c r="G196" s="125"/>
      <c r="H196" s="126"/>
    </row>
    <row r="197" spans="1:8">
      <c r="A197" s="220">
        <v>32118</v>
      </c>
      <c r="B197" s="221" t="s">
        <v>187</v>
      </c>
      <c r="C197" s="224">
        <v>90040</v>
      </c>
      <c r="D197" s="226">
        <v>9.322E-4</v>
      </c>
      <c r="E197" s="146"/>
      <c r="F197" s="302">
        <f>VLOOKUP(A197,'OPEB Amounts_Report'!$A$10:$A$321,1,FALSE)</f>
        <v>32118</v>
      </c>
      <c r="G197" s="125"/>
      <c r="H197" s="126"/>
    </row>
    <row r="198" spans="1:8">
      <c r="A198" s="218">
        <v>12039</v>
      </c>
      <c r="B198" s="219" t="s">
        <v>188</v>
      </c>
      <c r="C198" s="223">
        <v>84550</v>
      </c>
      <c r="D198" s="225">
        <v>8.7540000000000003E-4</v>
      </c>
      <c r="E198" s="146"/>
      <c r="F198" s="302">
        <f>VLOOKUP(A198,'OPEB Amounts_Report'!$A$10:$A$321,1,FALSE)</f>
        <v>12039</v>
      </c>
      <c r="G198" s="125"/>
      <c r="H198" s="126"/>
    </row>
    <row r="199" spans="1:8">
      <c r="A199" s="220">
        <v>12150</v>
      </c>
      <c r="B199" s="221" t="s">
        <v>189</v>
      </c>
      <c r="C199" s="322">
        <v>16397</v>
      </c>
      <c r="D199" s="226">
        <v>1.6980000000000001E-4</v>
      </c>
      <c r="E199" s="146"/>
      <c r="F199" s="302">
        <f>VLOOKUP(A199,'OPEB Amounts_Report'!$A$10:$A$321,1,FALSE)</f>
        <v>12150</v>
      </c>
      <c r="G199" s="125"/>
      <c r="H199" s="126"/>
    </row>
    <row r="200" spans="1:8" s="142" customFormat="1">
      <c r="A200" s="218">
        <v>20060</v>
      </c>
      <c r="B200" s="219" t="s">
        <v>190</v>
      </c>
      <c r="C200" s="223">
        <v>59999</v>
      </c>
      <c r="D200" s="225">
        <v>6.2120000000000003E-4</v>
      </c>
      <c r="E200" s="146"/>
      <c r="F200" s="302">
        <f>VLOOKUP(A200,'OPEB Amounts_Report'!$A$10:$A$321,1,FALSE)</f>
        <v>20060</v>
      </c>
      <c r="G200" s="125"/>
      <c r="H200" s="126"/>
    </row>
    <row r="201" spans="1:8">
      <c r="A201" s="220">
        <v>1001</v>
      </c>
      <c r="B201" s="249" t="s">
        <v>191</v>
      </c>
      <c r="C201" s="321">
        <v>166397</v>
      </c>
      <c r="D201" s="251">
        <v>1.7228E-3</v>
      </c>
      <c r="E201" s="146"/>
      <c r="F201" s="302">
        <f>VLOOKUP(A201,'OPEB Amounts_Report'!$A$10:$A$321,1,FALSE)</f>
        <v>1001</v>
      </c>
      <c r="G201" s="125"/>
      <c r="H201" s="126"/>
    </row>
    <row r="202" spans="1:8">
      <c r="A202" s="218">
        <v>11035</v>
      </c>
      <c r="B202" s="219" t="s">
        <v>192</v>
      </c>
      <c r="C202" s="223">
        <v>384402</v>
      </c>
      <c r="D202" s="225">
        <v>3.9798999999999998E-3</v>
      </c>
      <c r="E202" s="146"/>
      <c r="F202" s="302">
        <f>VLOOKUP(A202,'OPEB Amounts_Report'!$A$10:$A$321,1,FALSE)</f>
        <v>11035</v>
      </c>
      <c r="G202" s="125"/>
      <c r="H202" s="126"/>
    </row>
    <row r="203" spans="1:8">
      <c r="A203" s="220">
        <v>2320</v>
      </c>
      <c r="B203" s="221" t="s">
        <v>193</v>
      </c>
      <c r="C203" s="224">
        <v>46175</v>
      </c>
      <c r="D203" s="226">
        <v>4.7810000000000002E-4</v>
      </c>
      <c r="E203" s="146"/>
      <c r="F203" s="302">
        <f>VLOOKUP(A203,'OPEB Amounts_Report'!$A$10:$A$321,1,FALSE)</f>
        <v>2320</v>
      </c>
      <c r="G203" s="125"/>
      <c r="H203" s="126"/>
    </row>
    <row r="204" spans="1:8">
      <c r="A204" s="218">
        <v>28084</v>
      </c>
      <c r="B204" s="219" t="s">
        <v>194</v>
      </c>
      <c r="C204" s="223">
        <v>36506</v>
      </c>
      <c r="D204" s="225">
        <v>3.7800000000000003E-4</v>
      </c>
      <c r="E204" s="146"/>
      <c r="F204" s="302">
        <f>VLOOKUP(A204,'OPEB Amounts_Report'!$A$10:$A$321,1,FALSE)</f>
        <v>28084</v>
      </c>
      <c r="G204" s="125"/>
      <c r="H204" s="126"/>
    </row>
    <row r="205" spans="1:8">
      <c r="A205" s="220">
        <v>20125</v>
      </c>
      <c r="B205" s="221" t="s">
        <v>195</v>
      </c>
      <c r="C205" s="224">
        <v>42681</v>
      </c>
      <c r="D205" s="226">
        <v>4.4190000000000001E-4</v>
      </c>
      <c r="E205" s="146"/>
      <c r="F205" s="302">
        <f>VLOOKUP(A205,'OPEB Amounts_Report'!$A$10:$A$321,1,FALSE)</f>
        <v>20125</v>
      </c>
      <c r="G205" s="125"/>
      <c r="H205" s="126"/>
    </row>
    <row r="206" spans="1:8">
      <c r="A206" s="218">
        <v>7445</v>
      </c>
      <c r="B206" s="219" t="s">
        <v>430</v>
      </c>
      <c r="C206" s="223">
        <v>9763</v>
      </c>
      <c r="D206" s="225">
        <v>1.011E-4</v>
      </c>
      <c r="E206" s="146"/>
      <c r="F206" s="302">
        <f>VLOOKUP(A206,'OPEB Amounts_Report'!$A$10:$A$321,1,FALSE)</f>
        <v>7445</v>
      </c>
      <c r="G206" s="125"/>
      <c r="H206" s="126"/>
    </row>
    <row r="207" spans="1:8">
      <c r="A207" s="220">
        <v>4170</v>
      </c>
      <c r="B207" s="221" t="s">
        <v>196</v>
      </c>
      <c r="C207" s="224">
        <v>2083</v>
      </c>
      <c r="D207" s="226">
        <v>2.16E-5</v>
      </c>
      <c r="E207" s="146"/>
      <c r="F207" s="302">
        <f>VLOOKUP(A207,'OPEB Amounts_Report'!$A$10:$A$321,1,FALSE)</f>
        <v>4170</v>
      </c>
      <c r="G207" s="125"/>
      <c r="H207" s="126"/>
    </row>
    <row r="208" spans="1:8">
      <c r="A208" s="218">
        <v>9029</v>
      </c>
      <c r="B208" s="219" t="s">
        <v>197</v>
      </c>
      <c r="C208" s="223">
        <v>113313</v>
      </c>
      <c r="D208" s="225">
        <v>1.1731999999999999E-3</v>
      </c>
      <c r="E208" s="146"/>
      <c r="F208" s="302">
        <f>VLOOKUP(A208,'OPEB Amounts_Report'!$A$10:$A$321,1,FALSE)</f>
        <v>9029</v>
      </c>
      <c r="G208" s="125"/>
      <c r="H208" s="126"/>
    </row>
    <row r="209" spans="1:8">
      <c r="A209" s="220">
        <v>2580</v>
      </c>
      <c r="B209" s="221" t="s">
        <v>198</v>
      </c>
      <c r="C209" s="224">
        <v>16413</v>
      </c>
      <c r="D209" s="226">
        <v>1.6990000000000001E-4</v>
      </c>
      <c r="E209" s="146"/>
      <c r="F209" s="302">
        <f>VLOOKUP(A209,'OPEB Amounts_Report'!$A$10:$A$321,1,FALSE)</f>
        <v>2580</v>
      </c>
      <c r="G209" s="125"/>
      <c r="H209" s="126"/>
    </row>
    <row r="210" spans="1:8">
      <c r="A210" s="218">
        <v>20312</v>
      </c>
      <c r="B210" s="219" t="s">
        <v>199</v>
      </c>
      <c r="C210" s="223">
        <v>12425</v>
      </c>
      <c r="D210" s="225">
        <v>1.2860000000000001E-4</v>
      </c>
      <c r="E210" s="146"/>
      <c r="F210" s="302">
        <f>VLOOKUP(A210,'OPEB Amounts_Report'!$A$10:$A$321,1,FALSE)</f>
        <v>20312</v>
      </c>
      <c r="G210" s="125"/>
      <c r="H210" s="126"/>
    </row>
    <row r="211" spans="1:8">
      <c r="A211" s="220">
        <v>26150</v>
      </c>
      <c r="B211" s="221" t="s">
        <v>200</v>
      </c>
      <c r="C211" s="224">
        <v>81891</v>
      </c>
      <c r="D211" s="226">
        <v>8.4789999999999996E-4</v>
      </c>
      <c r="E211" s="146"/>
      <c r="F211" s="302">
        <f>VLOOKUP(A211,'OPEB Amounts_Report'!$A$10:$A$321,1,FALSE)</f>
        <v>26150</v>
      </c>
      <c r="G211" s="125"/>
      <c r="H211" s="126"/>
    </row>
    <row r="212" spans="1:8">
      <c r="A212" s="218">
        <v>5016</v>
      </c>
      <c r="B212" s="219" t="s">
        <v>201</v>
      </c>
      <c r="C212" s="223">
        <v>9495</v>
      </c>
      <c r="D212" s="225">
        <v>9.8300000000000004E-5</v>
      </c>
      <c r="E212" s="146"/>
      <c r="F212" s="302">
        <f>VLOOKUP(A212,'OPEB Amounts_Report'!$A$10:$A$321,1,FALSE)</f>
        <v>5016</v>
      </c>
      <c r="G212" s="125"/>
      <c r="H212" s="126"/>
    </row>
    <row r="213" spans="1:8">
      <c r="A213" s="220">
        <v>6150</v>
      </c>
      <c r="B213" s="221" t="s">
        <v>202</v>
      </c>
      <c r="C213" s="224">
        <v>7878</v>
      </c>
      <c r="D213" s="226">
        <v>8.1600000000000005E-5</v>
      </c>
      <c r="E213" s="146"/>
      <c r="F213" s="302">
        <f>VLOOKUP(A213,'OPEB Amounts_Report'!$A$10:$A$321,1,FALSE)</f>
        <v>6150</v>
      </c>
      <c r="G213" s="125"/>
      <c r="H213" s="126"/>
    </row>
    <row r="214" spans="1:8">
      <c r="A214" s="218">
        <v>4480</v>
      </c>
      <c r="B214" s="219" t="s">
        <v>203</v>
      </c>
      <c r="C214" s="223">
        <v>16182</v>
      </c>
      <c r="D214" s="225">
        <v>1.6750000000000001E-4</v>
      </c>
      <c r="E214" s="146"/>
      <c r="F214" s="302">
        <f>VLOOKUP(A214,'OPEB Amounts_Report'!$A$10:$A$321,1,FALSE)</f>
        <v>4480</v>
      </c>
      <c r="G214" s="125"/>
      <c r="H214" s="126"/>
    </row>
    <row r="215" spans="1:8">
      <c r="A215" s="220">
        <v>28085</v>
      </c>
      <c r="B215" s="221" t="s">
        <v>204</v>
      </c>
      <c r="C215" s="224">
        <v>29914</v>
      </c>
      <c r="D215" s="226">
        <v>3.0969999999999999E-4</v>
      </c>
      <c r="E215" s="146"/>
      <c r="F215" s="302">
        <f>VLOOKUP(A215,'OPEB Amounts_Report'!$A$10:$A$321,1,FALSE)</f>
        <v>28085</v>
      </c>
      <c r="G215" s="125"/>
      <c r="H215" s="126"/>
    </row>
    <row r="216" spans="1:8">
      <c r="A216" s="218">
        <v>3240</v>
      </c>
      <c r="B216" s="219" t="s">
        <v>205</v>
      </c>
      <c r="C216" s="223">
        <v>197860</v>
      </c>
      <c r="D216" s="225">
        <v>2.0485999999999998E-3</v>
      </c>
      <c r="E216" s="146"/>
      <c r="F216" s="302">
        <f>VLOOKUP(A216,'OPEB Amounts_Report'!$A$10:$A$321,1,FALSE)</f>
        <v>3240</v>
      </c>
      <c r="G216" s="125"/>
      <c r="H216" s="126"/>
    </row>
    <row r="217" spans="1:8">
      <c r="A217" s="220">
        <v>12326</v>
      </c>
      <c r="B217" s="221" t="s">
        <v>206</v>
      </c>
      <c r="C217" s="224">
        <v>10558</v>
      </c>
      <c r="D217" s="226">
        <v>1.093E-4</v>
      </c>
      <c r="E217" s="146"/>
      <c r="F217" s="302">
        <f>VLOOKUP(A217,'OPEB Amounts_Report'!$A$10:$A$321,1,FALSE)</f>
        <v>12326</v>
      </c>
      <c r="G217" s="125"/>
      <c r="H217" s="126"/>
    </row>
    <row r="218" spans="1:8">
      <c r="A218" s="218">
        <v>29123</v>
      </c>
      <c r="B218" s="219" t="s">
        <v>207</v>
      </c>
      <c r="C218" s="223">
        <v>2161643</v>
      </c>
      <c r="D218" s="225">
        <v>2.23807E-2</v>
      </c>
      <c r="E218" s="146"/>
      <c r="F218" s="302">
        <f>VLOOKUP(A218,'OPEB Amounts_Report'!$A$10:$A$321,1,FALSE)</f>
        <v>29123</v>
      </c>
      <c r="G218" s="125"/>
      <c r="H218" s="126"/>
    </row>
    <row r="219" spans="1:8">
      <c r="A219" s="220">
        <v>2318</v>
      </c>
      <c r="B219" s="221" t="s">
        <v>208</v>
      </c>
      <c r="C219" s="224">
        <v>49200</v>
      </c>
      <c r="D219" s="226">
        <v>5.0940000000000002E-4</v>
      </c>
      <c r="E219" s="146"/>
      <c r="F219" s="302">
        <f>VLOOKUP(A219,'OPEB Amounts_Report'!$A$10:$A$321,1,FALSE)</f>
        <v>2318</v>
      </c>
      <c r="G219" s="125"/>
      <c r="H219" s="126"/>
    </row>
    <row r="220" spans="1:8">
      <c r="A220" s="218">
        <v>3250</v>
      </c>
      <c r="B220" s="219" t="s">
        <v>209</v>
      </c>
      <c r="C220" s="223">
        <v>66235</v>
      </c>
      <c r="D220" s="225">
        <v>6.8579999999999997E-4</v>
      </c>
      <c r="E220" s="146"/>
      <c r="F220" s="302">
        <f>VLOOKUP(A220,'OPEB Amounts_Report'!$A$10:$A$321,1,FALSE)</f>
        <v>3250</v>
      </c>
      <c r="G220" s="125"/>
      <c r="H220" s="126"/>
    </row>
    <row r="221" spans="1:8">
      <c r="A221" s="220">
        <v>2313</v>
      </c>
      <c r="B221" s="221" t="s">
        <v>210</v>
      </c>
      <c r="C221" s="224">
        <v>6799</v>
      </c>
      <c r="D221" s="226">
        <v>7.0400000000000004E-5</v>
      </c>
      <c r="E221" s="146"/>
      <c r="F221" s="302">
        <f>VLOOKUP(A221,'OPEB Amounts_Report'!$A$10:$A$321,1,FALSE)</f>
        <v>2313</v>
      </c>
      <c r="G221" s="125"/>
      <c r="H221" s="126"/>
    </row>
    <row r="222" spans="1:8">
      <c r="A222" s="218">
        <v>4011</v>
      </c>
      <c r="B222" s="219" t="s">
        <v>211</v>
      </c>
      <c r="C222" s="223">
        <v>1224928</v>
      </c>
      <c r="D222" s="225">
        <v>1.26824E-2</v>
      </c>
      <c r="E222" s="146"/>
      <c r="F222" s="302">
        <f>VLOOKUP(A222,'OPEB Amounts_Report'!$A$10:$A$321,1,FALSE)</f>
        <v>4011</v>
      </c>
      <c r="G222" s="125"/>
      <c r="H222" s="126"/>
    </row>
    <row r="223" spans="1:8">
      <c r="A223" s="220">
        <v>31092</v>
      </c>
      <c r="B223" s="221" t="s">
        <v>212</v>
      </c>
      <c r="C223" s="224">
        <v>19724</v>
      </c>
      <c r="D223" s="226">
        <v>2.042E-4</v>
      </c>
      <c r="E223" s="146"/>
      <c r="F223" s="302">
        <f>VLOOKUP(A223,'OPEB Amounts_Report'!$A$10:$A$321,1,FALSE)</f>
        <v>31092</v>
      </c>
      <c r="G223" s="125"/>
      <c r="H223" s="126"/>
    </row>
    <row r="224" spans="1:8">
      <c r="A224" s="218">
        <v>26081</v>
      </c>
      <c r="B224" s="219" t="s">
        <v>213</v>
      </c>
      <c r="C224" s="223">
        <v>215339</v>
      </c>
      <c r="D224" s="225">
        <v>2.2295000000000001E-3</v>
      </c>
      <c r="E224" s="146"/>
      <c r="F224" s="302">
        <f>VLOOKUP(A224,'OPEB Amounts_Report'!$A$10:$A$321,1,FALSE)</f>
        <v>26081</v>
      </c>
      <c r="G224" s="125"/>
      <c r="H224" s="126"/>
    </row>
    <row r="225" spans="1:8">
      <c r="A225" s="220">
        <v>29305</v>
      </c>
      <c r="B225" s="221" t="s">
        <v>214</v>
      </c>
      <c r="C225" s="224">
        <v>17507</v>
      </c>
      <c r="D225" s="226">
        <v>1.8129999999999999E-4</v>
      </c>
      <c r="E225" s="146"/>
      <c r="F225" s="302">
        <f>VLOOKUP(A225,'OPEB Amounts_Report'!$A$10:$A$321,1,FALSE)</f>
        <v>29305</v>
      </c>
      <c r="G225" s="125"/>
      <c r="H225" s="126"/>
    </row>
    <row r="226" spans="1:8">
      <c r="A226" s="218">
        <v>10032</v>
      </c>
      <c r="B226" s="219" t="s">
        <v>215</v>
      </c>
      <c r="C226" s="223">
        <v>24774</v>
      </c>
      <c r="D226" s="225">
        <v>2.565E-4</v>
      </c>
      <c r="E226" s="146"/>
      <c r="F226" s="302">
        <f>VLOOKUP(A226,'OPEB Amounts_Report'!$A$10:$A$321,1,FALSE)</f>
        <v>10032</v>
      </c>
      <c r="G226" s="125"/>
      <c r="H226" s="126"/>
    </row>
    <row r="227" spans="1:8">
      <c r="A227" s="220">
        <v>32107</v>
      </c>
      <c r="B227" s="221" t="s">
        <v>216</v>
      </c>
      <c r="C227" s="224">
        <v>31426</v>
      </c>
      <c r="D227" s="226">
        <v>3.2539999999999999E-4</v>
      </c>
      <c r="E227" s="146"/>
      <c r="F227" s="302">
        <f>VLOOKUP(A227,'OPEB Amounts_Report'!$A$10:$A$321,1,FALSE)</f>
        <v>32107</v>
      </c>
      <c r="G227" s="125"/>
      <c r="H227" s="126"/>
    </row>
    <row r="228" spans="1:8">
      <c r="A228" s="218">
        <v>3260</v>
      </c>
      <c r="B228" s="219" t="s">
        <v>217</v>
      </c>
      <c r="C228" s="223">
        <v>585452</v>
      </c>
      <c r="D228" s="225">
        <v>6.0615E-3</v>
      </c>
      <c r="E228" s="146"/>
      <c r="F228" s="302">
        <f>VLOOKUP(A228,'OPEB Amounts_Report'!$A$10:$A$321,1,FALSE)</f>
        <v>3260</v>
      </c>
      <c r="G228" s="125"/>
      <c r="H228" s="126"/>
    </row>
    <row r="229" spans="1:8">
      <c r="A229" s="220">
        <v>4390</v>
      </c>
      <c r="B229" s="221" t="s">
        <v>218</v>
      </c>
      <c r="C229" s="224">
        <v>5980</v>
      </c>
      <c r="D229" s="226">
        <v>6.19E-5</v>
      </c>
      <c r="E229" s="146"/>
      <c r="F229" s="302">
        <f>VLOOKUP(A229,'OPEB Amounts_Report'!$A$10:$A$321,1,FALSE)</f>
        <v>4390</v>
      </c>
      <c r="G229" s="125"/>
      <c r="H229" s="126"/>
    </row>
    <row r="230" spans="1:8">
      <c r="A230" s="218">
        <v>3270</v>
      </c>
      <c r="B230" s="219" t="s">
        <v>219</v>
      </c>
      <c r="C230" s="223">
        <v>83751</v>
      </c>
      <c r="D230" s="225">
        <v>8.6709999999999999E-4</v>
      </c>
      <c r="E230" s="146"/>
      <c r="F230" s="302">
        <f>VLOOKUP(A230,'OPEB Amounts_Report'!$A$10:$A$321,1,FALSE)</f>
        <v>3270</v>
      </c>
      <c r="G230" s="125"/>
      <c r="H230" s="126"/>
    </row>
    <row r="231" spans="1:8">
      <c r="A231" s="220">
        <v>29303</v>
      </c>
      <c r="B231" s="221" t="s">
        <v>220</v>
      </c>
      <c r="C231" s="224">
        <v>19818</v>
      </c>
      <c r="D231" s="226">
        <v>2.052E-4</v>
      </c>
      <c r="E231" s="146"/>
      <c r="F231" s="302">
        <f>VLOOKUP(A231,'OPEB Amounts_Report'!$A$10:$A$321,1,FALSE)</f>
        <v>29303</v>
      </c>
      <c r="G231" s="125"/>
      <c r="H231" s="126"/>
    </row>
    <row r="232" spans="1:8">
      <c r="A232" s="218">
        <v>3280</v>
      </c>
      <c r="B232" s="219" t="s">
        <v>448</v>
      </c>
      <c r="C232" s="223">
        <v>411989</v>
      </c>
      <c r="D232" s="225">
        <v>4.2655999999999996E-3</v>
      </c>
      <c r="E232" s="146"/>
      <c r="F232" s="302">
        <f>VLOOKUP(A232,'OPEB Amounts_Report'!$A$10:$A$321,1,FALSE)</f>
        <v>3280</v>
      </c>
      <c r="G232" s="125"/>
      <c r="H232" s="126"/>
    </row>
    <row r="233" spans="1:8">
      <c r="A233" s="220">
        <v>4260</v>
      </c>
      <c r="B233" s="221" t="s">
        <v>222</v>
      </c>
      <c r="C233" s="224">
        <v>30244</v>
      </c>
      <c r="D233" s="226">
        <v>3.1310000000000002E-4</v>
      </c>
      <c r="E233" s="146"/>
      <c r="F233" s="302">
        <f>VLOOKUP(A233,'OPEB Amounts_Report'!$A$10:$A$321,1,FALSE)</f>
        <v>4260</v>
      </c>
      <c r="G233" s="125"/>
      <c r="H233" s="126"/>
    </row>
    <row r="234" spans="1:8">
      <c r="A234" s="218">
        <v>1003</v>
      </c>
      <c r="B234" s="219" t="s">
        <v>223</v>
      </c>
      <c r="C234" s="223">
        <v>422420</v>
      </c>
      <c r="D234" s="225">
        <v>4.3736000000000001E-3</v>
      </c>
      <c r="E234" s="146"/>
      <c r="F234" s="302">
        <f>VLOOKUP(A234,'OPEB Amounts_Report'!$A$10:$A$321,1,FALSE)</f>
        <v>1003</v>
      </c>
      <c r="G234" s="125"/>
      <c r="H234" s="126"/>
    </row>
    <row r="235" spans="1:8">
      <c r="A235" s="220">
        <v>3290</v>
      </c>
      <c r="B235" s="221" t="s">
        <v>224</v>
      </c>
      <c r="C235" s="224">
        <v>899135</v>
      </c>
      <c r="D235" s="226">
        <v>9.3092999999999995E-3</v>
      </c>
      <c r="E235" s="146"/>
      <c r="F235" s="302">
        <f>VLOOKUP(A235,'OPEB Amounts_Report'!$A$10:$A$321,1,FALSE)</f>
        <v>3290</v>
      </c>
      <c r="G235" s="125"/>
      <c r="H235" s="126"/>
    </row>
    <row r="236" spans="1:8">
      <c r="A236" s="218">
        <v>1002</v>
      </c>
      <c r="B236" s="219" t="s">
        <v>225</v>
      </c>
      <c r="C236" s="223">
        <v>1683424</v>
      </c>
      <c r="D236" s="225">
        <v>1.7429400000000001E-2</v>
      </c>
      <c r="E236" s="146"/>
      <c r="F236" s="302">
        <f>VLOOKUP(A236,'OPEB Amounts_Report'!$A$10:$A$321,1,FALSE)</f>
        <v>1002</v>
      </c>
      <c r="G236" s="125"/>
      <c r="H236" s="126"/>
    </row>
    <row r="237" spans="1:8">
      <c r="A237" s="220">
        <v>4270</v>
      </c>
      <c r="B237" s="221" t="s">
        <v>449</v>
      </c>
      <c r="C237" s="224">
        <v>36549</v>
      </c>
      <c r="D237" s="226">
        <v>3.7839999999999998E-4</v>
      </c>
      <c r="E237" s="146"/>
      <c r="F237" s="302">
        <f>VLOOKUP(A237,'OPEB Amounts_Report'!$A$10:$A$321,1,FALSE)</f>
        <v>4270</v>
      </c>
      <c r="G237" s="125"/>
      <c r="H237" s="126"/>
    </row>
    <row r="238" spans="1:8" s="142" customFormat="1">
      <c r="A238" s="218">
        <v>24072</v>
      </c>
      <c r="B238" s="219" t="s">
        <v>226</v>
      </c>
      <c r="C238" s="223">
        <v>119516</v>
      </c>
      <c r="D238" s="225">
        <v>1.2374E-3</v>
      </c>
      <c r="E238" s="146"/>
      <c r="F238" s="302">
        <f>VLOOKUP(A238,'OPEB Amounts_Report'!$A$10:$A$321,1,FALSE)</f>
        <v>24072</v>
      </c>
      <c r="G238" s="125"/>
      <c r="H238" s="126"/>
    </row>
    <row r="239" spans="1:8">
      <c r="A239" s="220">
        <v>14366</v>
      </c>
      <c r="B239" s="221" t="s">
        <v>227</v>
      </c>
      <c r="C239" s="224">
        <v>54471</v>
      </c>
      <c r="D239" s="226">
        <v>5.6400000000000005E-4</v>
      </c>
      <c r="E239" s="146"/>
      <c r="F239" s="302">
        <f>VLOOKUP(A239,'OPEB Amounts_Report'!$A$10:$A$321,1,FALSE)</f>
        <v>14366</v>
      </c>
      <c r="G239" s="125"/>
      <c r="H239" s="126"/>
    </row>
    <row r="240" spans="1:8">
      <c r="A240" s="218">
        <v>4317</v>
      </c>
      <c r="B240" s="219" t="s">
        <v>228</v>
      </c>
      <c r="C240" s="223">
        <v>20578</v>
      </c>
      <c r="D240" s="225">
        <v>2.131E-4</v>
      </c>
      <c r="E240" s="146"/>
      <c r="F240" s="302">
        <f>VLOOKUP(A240,'OPEB Amounts_Report'!$A$10:$A$321,1,FALSE)</f>
        <v>4317</v>
      </c>
      <c r="G240" s="125"/>
      <c r="H240" s="126"/>
    </row>
    <row r="241" spans="1:8">
      <c r="A241" s="220">
        <v>32120</v>
      </c>
      <c r="B241" s="221" t="s">
        <v>229</v>
      </c>
      <c r="C241" s="224">
        <v>24067</v>
      </c>
      <c r="D241" s="226">
        <v>2.4919999999999999E-4</v>
      </c>
      <c r="E241" s="146"/>
      <c r="F241" s="302">
        <f>VLOOKUP(A241,'OPEB Amounts_Report'!$A$10:$A$321,1,FALSE)</f>
        <v>32120</v>
      </c>
      <c r="G241" s="125"/>
      <c r="H241" s="126"/>
    </row>
    <row r="242" spans="1:8">
      <c r="A242" s="218">
        <v>3300</v>
      </c>
      <c r="B242" s="219" t="s">
        <v>450</v>
      </c>
      <c r="C242" s="223">
        <v>58206</v>
      </c>
      <c r="D242" s="225">
        <v>6.0260000000000001E-4</v>
      </c>
      <c r="E242" s="146"/>
      <c r="F242" s="302">
        <f>VLOOKUP(A242,'OPEB Amounts_Report'!$A$10:$A$321,1,FALSE)</f>
        <v>3300</v>
      </c>
      <c r="G242" s="125"/>
      <c r="H242" s="126"/>
    </row>
    <row r="243" spans="1:8">
      <c r="A243" s="220">
        <v>8026</v>
      </c>
      <c r="B243" s="221" t="s">
        <v>231</v>
      </c>
      <c r="C243" s="224">
        <v>327851</v>
      </c>
      <c r="D243" s="226">
        <v>3.3944000000000001E-3</v>
      </c>
      <c r="E243" s="146"/>
      <c r="F243" s="302">
        <f>VLOOKUP(A243,'OPEB Amounts_Report'!$A$10:$A$321,1,FALSE)</f>
        <v>8026</v>
      </c>
      <c r="G243" s="125"/>
      <c r="H243" s="126"/>
    </row>
    <row r="244" spans="1:8">
      <c r="A244" s="218">
        <v>32119</v>
      </c>
      <c r="B244" s="219" t="s">
        <v>232</v>
      </c>
      <c r="C244" s="223">
        <v>11112</v>
      </c>
      <c r="D244" s="225">
        <v>1.15E-4</v>
      </c>
      <c r="E244" s="146"/>
      <c r="F244" s="302">
        <f>VLOOKUP(A244,'OPEB Amounts_Report'!$A$10:$A$321,1,FALSE)</f>
        <v>32119</v>
      </c>
      <c r="G244" s="125"/>
      <c r="H244" s="126"/>
    </row>
    <row r="245" spans="1:8">
      <c r="A245" s="220">
        <v>25076</v>
      </c>
      <c r="B245" s="221" t="s">
        <v>233</v>
      </c>
      <c r="C245" s="224">
        <v>198060</v>
      </c>
      <c r="D245" s="226">
        <v>2.0506000000000001E-3</v>
      </c>
      <c r="E245" s="146"/>
      <c r="F245" s="302">
        <f>VLOOKUP(A245,'OPEB Amounts_Report'!$A$10:$A$321,1,FALSE)</f>
        <v>25076</v>
      </c>
      <c r="G245" s="125"/>
      <c r="H245" s="126"/>
    </row>
    <row r="246" spans="1:8">
      <c r="A246" s="218">
        <v>2440</v>
      </c>
      <c r="B246" s="219" t="s">
        <v>414</v>
      </c>
      <c r="C246" s="223">
        <v>19351</v>
      </c>
      <c r="D246" s="225">
        <v>2.0039999999999999E-4</v>
      </c>
      <c r="E246" s="146"/>
      <c r="F246" s="302">
        <f>VLOOKUP(A246,'OPEB Amounts_Report'!$A$10:$A$321,1,FALSE)</f>
        <v>2440</v>
      </c>
      <c r="G246" s="125"/>
      <c r="H246" s="126"/>
    </row>
    <row r="247" spans="1:8">
      <c r="A247" s="220">
        <v>2309</v>
      </c>
      <c r="B247" s="221" t="s">
        <v>234</v>
      </c>
      <c r="C247" s="224">
        <v>84420</v>
      </c>
      <c r="D247" s="226">
        <v>8.7399999999999999E-4</v>
      </c>
      <c r="E247" s="146"/>
      <c r="F247" s="302">
        <f>VLOOKUP(A247,'OPEB Amounts_Report'!$A$10:$A$321,1,FALSE)</f>
        <v>2309</v>
      </c>
      <c r="G247" s="125"/>
      <c r="H247" s="126"/>
    </row>
    <row r="248" spans="1:8">
      <c r="A248" s="218">
        <v>2396</v>
      </c>
      <c r="B248" s="219" t="s">
        <v>235</v>
      </c>
      <c r="C248" s="223">
        <v>22420</v>
      </c>
      <c r="D248" s="225">
        <v>2.321E-4</v>
      </c>
      <c r="E248" s="146"/>
      <c r="F248" s="302">
        <f>VLOOKUP(A248,'OPEB Amounts_Report'!$A$10:$A$321,1,FALSE)</f>
        <v>2396</v>
      </c>
      <c r="G248" s="125"/>
      <c r="H248" s="126"/>
    </row>
    <row r="249" spans="1:8">
      <c r="A249" s="220">
        <v>3380</v>
      </c>
      <c r="B249" s="249" t="s">
        <v>236</v>
      </c>
      <c r="C249" s="321">
        <v>18098</v>
      </c>
      <c r="D249" s="251">
        <v>1.874E-4</v>
      </c>
      <c r="E249" s="146"/>
      <c r="F249" s="302">
        <f>VLOOKUP(A249,'OPEB Amounts_Report'!$A$10:$A$321,1,FALSE)</f>
        <v>3380</v>
      </c>
      <c r="G249" s="125"/>
      <c r="H249" s="126"/>
    </row>
    <row r="250" spans="1:8">
      <c r="A250" s="218">
        <v>2420</v>
      </c>
      <c r="B250" s="219" t="s">
        <v>237</v>
      </c>
      <c r="C250" s="223">
        <v>25002</v>
      </c>
      <c r="D250" s="225">
        <v>2.589E-4</v>
      </c>
      <c r="E250" s="146"/>
      <c r="F250" s="302">
        <f>VLOOKUP(A250,'OPEB Amounts_Report'!$A$10:$A$321,1,FALSE)</f>
        <v>2420</v>
      </c>
      <c r="G250" s="125"/>
      <c r="H250" s="126"/>
    </row>
    <row r="251" spans="1:8">
      <c r="A251" s="220">
        <v>2740</v>
      </c>
      <c r="B251" s="221" t="s">
        <v>238</v>
      </c>
      <c r="C251" s="224">
        <v>4156</v>
      </c>
      <c r="D251" s="226">
        <v>4.3000000000000002E-5</v>
      </c>
      <c r="E251" s="146"/>
      <c r="F251" s="302">
        <f>VLOOKUP(A251,'OPEB Amounts_Report'!$A$10:$A$321,1,FALSE)</f>
        <v>2740</v>
      </c>
      <c r="G251" s="125"/>
      <c r="H251" s="126"/>
    </row>
    <row r="252" spans="1:8">
      <c r="A252" s="218">
        <v>2346</v>
      </c>
      <c r="B252" s="219" t="s">
        <v>239</v>
      </c>
      <c r="C252" s="223">
        <v>17818</v>
      </c>
      <c r="D252" s="225">
        <v>1.8450000000000001E-4</v>
      </c>
      <c r="E252" s="146"/>
      <c r="F252" s="302">
        <f>VLOOKUP(A252,'OPEB Amounts_Report'!$A$10:$A$321,1,FALSE)</f>
        <v>2346</v>
      </c>
      <c r="G252" s="125"/>
      <c r="H252" s="126"/>
    </row>
    <row r="253" spans="1:8">
      <c r="A253" s="220">
        <v>21150</v>
      </c>
      <c r="B253" s="221" t="s">
        <v>240</v>
      </c>
      <c r="C253" s="224">
        <v>44391</v>
      </c>
      <c r="D253" s="226">
        <v>4.596E-4</v>
      </c>
      <c r="E253" s="146"/>
      <c r="F253" s="302">
        <f>VLOOKUP(A253,'OPEB Amounts_Report'!$A$10:$A$321,1,FALSE)</f>
        <v>21150</v>
      </c>
      <c r="G253" s="125"/>
      <c r="H253" s="126"/>
    </row>
    <row r="254" spans="1:8">
      <c r="A254" s="218">
        <v>32098</v>
      </c>
      <c r="B254" s="219" t="s">
        <v>241</v>
      </c>
      <c r="C254" s="223">
        <v>21936</v>
      </c>
      <c r="D254" s="225">
        <v>2.2709999999999999E-4</v>
      </c>
      <c r="E254" s="146"/>
      <c r="F254" s="302">
        <f>VLOOKUP(A254,'OPEB Amounts_Report'!$A$10:$A$321,1,FALSE)</f>
        <v>32098</v>
      </c>
      <c r="G254" s="125"/>
      <c r="H254" s="126"/>
    </row>
    <row r="255" spans="1:8">
      <c r="A255" s="220">
        <v>4520</v>
      </c>
      <c r="B255" s="221" t="s">
        <v>242</v>
      </c>
      <c r="C255" s="224">
        <v>2954</v>
      </c>
      <c r="D255" s="226">
        <v>3.0599999999999998E-5</v>
      </c>
      <c r="E255" s="146"/>
      <c r="F255" s="302">
        <f>VLOOKUP(A255,'OPEB Amounts_Report'!$A$10:$A$321,1,FALSE)</f>
        <v>4520</v>
      </c>
      <c r="G255" s="125"/>
      <c r="H255" s="126"/>
    </row>
    <row r="256" spans="1:8">
      <c r="A256" s="218">
        <v>9030</v>
      </c>
      <c r="B256" s="219" t="s">
        <v>243</v>
      </c>
      <c r="C256" s="223">
        <v>28339</v>
      </c>
      <c r="D256" s="225">
        <v>2.9339999999999998E-4</v>
      </c>
      <c r="E256" s="146"/>
      <c r="F256" s="302">
        <f>VLOOKUP(A256,'OPEB Amounts_Report'!$A$10:$A$321,1,FALSE)</f>
        <v>9030</v>
      </c>
      <c r="G256" s="125"/>
      <c r="H256" s="126"/>
    </row>
    <row r="257" spans="1:8">
      <c r="A257" s="220">
        <v>20265</v>
      </c>
      <c r="B257" s="221" t="s">
        <v>244</v>
      </c>
      <c r="C257" s="322">
        <v>26657</v>
      </c>
      <c r="D257" s="226">
        <v>2.7599999999999999E-4</v>
      </c>
      <c r="E257" s="146"/>
      <c r="F257" s="302">
        <f>VLOOKUP(A257,'OPEB Amounts_Report'!$A$10:$A$321,1,FALSE)</f>
        <v>20265</v>
      </c>
      <c r="G257" s="125"/>
      <c r="H257" s="126"/>
    </row>
    <row r="258" spans="1:8">
      <c r="A258" s="218">
        <v>20307</v>
      </c>
      <c r="B258" s="219" t="s">
        <v>245</v>
      </c>
      <c r="C258" s="223">
        <v>26082</v>
      </c>
      <c r="D258" s="225">
        <v>2.7E-4</v>
      </c>
      <c r="E258" s="146"/>
      <c r="F258" s="302">
        <f>VLOOKUP(A258,'OPEB Amounts_Report'!$A$10:$A$321,1,FALSE)</f>
        <v>20307</v>
      </c>
      <c r="G258" s="125"/>
      <c r="H258" s="126"/>
    </row>
    <row r="259" spans="1:8">
      <c r="A259" s="220">
        <v>3320</v>
      </c>
      <c r="B259" s="221" t="s">
        <v>246</v>
      </c>
      <c r="C259" s="224">
        <v>193515</v>
      </c>
      <c r="D259" s="226">
        <v>2.0035999999999999E-3</v>
      </c>
      <c r="E259" s="146"/>
      <c r="F259" s="302">
        <f>VLOOKUP(A259,'OPEB Amounts_Report'!$A$10:$A$321,1,FALSE)</f>
        <v>3320</v>
      </c>
      <c r="G259" s="125"/>
      <c r="H259" s="126"/>
    </row>
    <row r="260" spans="1:8">
      <c r="A260" s="218">
        <v>20415</v>
      </c>
      <c r="B260" s="219" t="s">
        <v>247</v>
      </c>
      <c r="C260" s="223">
        <v>18052</v>
      </c>
      <c r="D260" s="225">
        <v>1.8689999999999999E-4</v>
      </c>
      <c r="E260" s="146"/>
      <c r="F260" s="302">
        <f>VLOOKUP(A260,'OPEB Amounts_Report'!$A$10:$A$321,1,FALSE)</f>
        <v>20415</v>
      </c>
      <c r="G260" s="125"/>
      <c r="H260" s="126"/>
    </row>
    <row r="261" spans="1:8">
      <c r="A261" s="220">
        <v>20435</v>
      </c>
      <c r="B261" s="221" t="s">
        <v>441</v>
      </c>
      <c r="C261" s="224">
        <v>22058</v>
      </c>
      <c r="D261" s="226">
        <v>2.284E-4</v>
      </c>
      <c r="E261" s="146"/>
      <c r="F261" s="302">
        <f>VLOOKUP(A261,'OPEB Amounts_Report'!$A$10:$A$321,1,FALSE)</f>
        <v>20435</v>
      </c>
      <c r="G261" s="125"/>
      <c r="H261" s="126"/>
    </row>
    <row r="262" spans="1:8">
      <c r="A262" s="218">
        <v>20062</v>
      </c>
      <c r="B262" s="219" t="s">
        <v>248</v>
      </c>
      <c r="C262" s="223">
        <v>302965</v>
      </c>
      <c r="D262" s="225">
        <v>3.1367999999999999E-3</v>
      </c>
      <c r="E262" s="146"/>
      <c r="F262" s="302">
        <f>VLOOKUP(A262,'OPEB Amounts_Report'!$A$10:$A$321,1,FALSE)</f>
        <v>20062</v>
      </c>
      <c r="G262" s="125"/>
      <c r="H262" s="126"/>
    </row>
    <row r="263" spans="1:8">
      <c r="A263" s="220">
        <v>6020</v>
      </c>
      <c r="B263" s="221" t="s">
        <v>249</v>
      </c>
      <c r="C263" s="224">
        <v>57350</v>
      </c>
      <c r="D263" s="226">
        <v>5.9380000000000001E-4</v>
      </c>
      <c r="E263" s="146"/>
      <c r="F263" s="302">
        <f>VLOOKUP(A263,'OPEB Amounts_Report'!$A$10:$A$321,1,FALSE)</f>
        <v>6020</v>
      </c>
      <c r="G263" s="125"/>
      <c r="H263" s="126"/>
    </row>
    <row r="264" spans="1:8">
      <c r="A264" s="218">
        <v>2394</v>
      </c>
      <c r="B264" s="219" t="s">
        <v>250</v>
      </c>
      <c r="C264" s="223">
        <v>30049</v>
      </c>
      <c r="D264" s="225">
        <v>3.1110000000000003E-4</v>
      </c>
      <c r="E264" s="146"/>
      <c r="F264" s="302">
        <f>VLOOKUP(A264,'OPEB Amounts_Report'!$A$10:$A$321,1,FALSE)</f>
        <v>2394</v>
      </c>
      <c r="G264" s="125"/>
      <c r="H264" s="126"/>
    </row>
    <row r="265" spans="1:8">
      <c r="A265" s="220">
        <v>5015</v>
      </c>
      <c r="B265" s="221" t="s">
        <v>251</v>
      </c>
      <c r="C265" s="224">
        <v>81594</v>
      </c>
      <c r="D265" s="226">
        <v>8.4480000000000004E-4</v>
      </c>
      <c r="E265" s="146"/>
      <c r="F265" s="302">
        <f>VLOOKUP(A265,'OPEB Amounts_Report'!$A$10:$A$321,1,FALSE)</f>
        <v>5015</v>
      </c>
      <c r="G265" s="125"/>
      <c r="H265" s="126"/>
    </row>
    <row r="266" spans="1:8">
      <c r="A266" s="218">
        <v>29408</v>
      </c>
      <c r="B266" s="219" t="s">
        <v>252</v>
      </c>
      <c r="C266" s="223">
        <v>54307</v>
      </c>
      <c r="D266" s="225">
        <v>5.6229999999999995E-4</v>
      </c>
      <c r="E266" s="146"/>
      <c r="F266" s="302">
        <f>VLOOKUP(A266,'OPEB Amounts_Report'!$A$10:$A$321,1,FALSE)</f>
        <v>29408</v>
      </c>
      <c r="G266" s="125"/>
      <c r="H266" s="126"/>
    </row>
    <row r="267" spans="1:8">
      <c r="A267" s="220">
        <v>2413</v>
      </c>
      <c r="B267" s="221" t="s">
        <v>253</v>
      </c>
      <c r="C267" s="224">
        <v>13973</v>
      </c>
      <c r="D267" s="226">
        <v>1.4469999999999999E-4</v>
      </c>
      <c r="E267" s="146"/>
      <c r="F267" s="302">
        <f>VLOOKUP(A267,'OPEB Amounts_Report'!$A$10:$A$321,1,FALSE)</f>
        <v>2413</v>
      </c>
      <c r="G267" s="125"/>
      <c r="H267" s="126"/>
    </row>
    <row r="268" spans="1:8">
      <c r="A268" s="218">
        <v>1398</v>
      </c>
      <c r="B268" s="219" t="s">
        <v>254</v>
      </c>
      <c r="C268" s="223">
        <v>25180</v>
      </c>
      <c r="D268" s="225">
        <v>2.6069999999999999E-4</v>
      </c>
      <c r="E268" s="146"/>
      <c r="F268" s="302">
        <f>VLOOKUP(A268,'OPEB Amounts_Report'!$A$10:$A$321,1,FALSE)</f>
        <v>1398</v>
      </c>
      <c r="G268" s="125"/>
      <c r="H268" s="126"/>
    </row>
    <row r="269" spans="1:8">
      <c r="A269" s="220">
        <v>2366</v>
      </c>
      <c r="B269" s="221" t="s">
        <v>255</v>
      </c>
      <c r="C269" s="224">
        <v>26506</v>
      </c>
      <c r="D269" s="226">
        <v>2.744E-4</v>
      </c>
      <c r="E269" s="146"/>
      <c r="F269" s="302">
        <f>VLOOKUP(A269,'OPEB Amounts_Report'!$A$10:$A$321,1,FALSE)</f>
        <v>2366</v>
      </c>
      <c r="G269" s="125"/>
      <c r="H269" s="126"/>
    </row>
    <row r="270" spans="1:8">
      <c r="A270" s="218">
        <v>7421</v>
      </c>
      <c r="B270" s="219" t="s">
        <v>256</v>
      </c>
      <c r="C270" s="223">
        <v>20444</v>
      </c>
      <c r="D270" s="225">
        <v>2.117E-4</v>
      </c>
      <c r="E270" s="146"/>
      <c r="F270" s="302">
        <f>VLOOKUP(A270,'OPEB Amounts_Report'!$A$10:$A$321,1,FALSE)</f>
        <v>7421</v>
      </c>
      <c r="G270" s="125"/>
      <c r="H270" s="126"/>
    </row>
    <row r="271" spans="1:8">
      <c r="A271" s="220">
        <v>2370</v>
      </c>
      <c r="B271" s="221" t="s">
        <v>257</v>
      </c>
      <c r="C271" s="224">
        <v>38771</v>
      </c>
      <c r="D271" s="226">
        <v>4.014E-4</v>
      </c>
      <c r="E271" s="146"/>
      <c r="F271" s="302">
        <f>VLOOKUP(A271,'OPEB Amounts_Report'!$A$10:$A$321,1,FALSE)</f>
        <v>2370</v>
      </c>
      <c r="G271" s="125"/>
      <c r="H271" s="126"/>
    </row>
    <row r="272" spans="1:8">
      <c r="A272" s="218">
        <v>32094</v>
      </c>
      <c r="B272" s="219" t="s">
        <v>258</v>
      </c>
      <c r="C272" s="223">
        <v>39514</v>
      </c>
      <c r="D272" s="225">
        <v>4.0910000000000002E-4</v>
      </c>
      <c r="E272" s="146"/>
      <c r="F272" s="302">
        <f>VLOOKUP(A272,'OPEB Amounts_Report'!$A$10:$A$321,1,FALSE)</f>
        <v>32094</v>
      </c>
      <c r="G272" s="125"/>
      <c r="H272" s="126"/>
    </row>
    <row r="273" spans="1:8">
      <c r="A273" s="220">
        <v>2790</v>
      </c>
      <c r="B273" s="221" t="s">
        <v>259</v>
      </c>
      <c r="C273" s="224">
        <v>4377</v>
      </c>
      <c r="D273" s="226">
        <v>4.5300000000000003E-5</v>
      </c>
      <c r="E273" s="146"/>
      <c r="F273" s="302">
        <f>VLOOKUP(A273,'OPEB Amounts_Report'!$A$10:$A$321,1,FALSE)</f>
        <v>2790</v>
      </c>
      <c r="G273" s="125"/>
      <c r="H273" s="126"/>
    </row>
    <row r="274" spans="1:8">
      <c r="A274" s="218">
        <v>3330</v>
      </c>
      <c r="B274" s="219" t="s">
        <v>260</v>
      </c>
      <c r="C274" s="223">
        <v>87672</v>
      </c>
      <c r="D274" s="225">
        <v>9.077E-4</v>
      </c>
      <c r="E274" s="146"/>
      <c r="F274" s="302">
        <f>VLOOKUP(A274,'OPEB Amounts_Report'!$A$10:$A$321,1,FALSE)</f>
        <v>3330</v>
      </c>
      <c r="G274" s="125"/>
      <c r="H274" s="126"/>
    </row>
    <row r="275" spans="1:8">
      <c r="A275" s="220">
        <v>2080</v>
      </c>
      <c r="B275" s="221" t="s">
        <v>261</v>
      </c>
      <c r="C275" s="224">
        <v>100031</v>
      </c>
      <c r="D275" s="226">
        <v>1.0357000000000001E-3</v>
      </c>
      <c r="E275" s="146"/>
      <c r="F275" s="302">
        <f>VLOOKUP(A275,'OPEB Amounts_Report'!$A$10:$A$321,1,FALSE)</f>
        <v>2080</v>
      </c>
      <c r="G275" s="125"/>
      <c r="H275" s="126"/>
    </row>
    <row r="276" spans="1:8">
      <c r="A276" s="218">
        <v>4290</v>
      </c>
      <c r="B276" s="219" t="s">
        <v>262</v>
      </c>
      <c r="C276" s="223">
        <v>32929</v>
      </c>
      <c r="D276" s="225">
        <v>3.4089999999999999E-4</v>
      </c>
      <c r="E276" s="146"/>
      <c r="F276" s="302">
        <f>VLOOKUP(A276,'OPEB Amounts_Report'!$A$10:$A$321,1,FALSE)</f>
        <v>4290</v>
      </c>
      <c r="G276" s="125"/>
      <c r="H276" s="126"/>
    </row>
    <row r="277" spans="1:8">
      <c r="A277" s="220">
        <v>2270</v>
      </c>
      <c r="B277" s="221" t="s">
        <v>263</v>
      </c>
      <c r="C277" s="224">
        <v>1877</v>
      </c>
      <c r="D277" s="226">
        <v>1.9400000000000001E-5</v>
      </c>
      <c r="E277" s="146"/>
      <c r="F277" s="302">
        <f>VLOOKUP(A277,'OPEB Amounts_Report'!$A$10:$A$321,1,FALSE)</f>
        <v>2270</v>
      </c>
      <c r="G277" s="125"/>
      <c r="H277" s="126"/>
    </row>
    <row r="278" spans="1:8">
      <c r="A278" s="218">
        <v>2300</v>
      </c>
      <c r="B278" s="219" t="s">
        <v>264</v>
      </c>
      <c r="C278" s="223">
        <v>8833</v>
      </c>
      <c r="D278" s="225">
        <v>9.1500000000000001E-5</v>
      </c>
      <c r="E278" s="146"/>
      <c r="F278" s="302">
        <f>VLOOKUP(A278,'OPEB Amounts_Report'!$A$10:$A$321,1,FALSE)</f>
        <v>2300</v>
      </c>
      <c r="G278" s="125"/>
      <c r="H278" s="126"/>
    </row>
    <row r="279" spans="1:8">
      <c r="A279" s="220">
        <v>2720</v>
      </c>
      <c r="B279" s="221" t="s">
        <v>265</v>
      </c>
      <c r="C279" s="224">
        <v>130272</v>
      </c>
      <c r="D279" s="226">
        <v>1.3488E-3</v>
      </c>
      <c r="E279" s="146"/>
      <c r="F279" s="302">
        <f>VLOOKUP(A279,'OPEB Amounts_Report'!$A$10:$A$321,1,FALSE)</f>
        <v>2720</v>
      </c>
      <c r="G279" s="125"/>
      <c r="H279" s="126"/>
    </row>
    <row r="280" spans="1:8">
      <c r="A280" s="218">
        <v>2750</v>
      </c>
      <c r="B280" s="219" t="s">
        <v>266</v>
      </c>
      <c r="C280" s="223">
        <v>8565</v>
      </c>
      <c r="D280" s="225">
        <v>8.8700000000000001E-5</v>
      </c>
      <c r="E280" s="146"/>
      <c r="F280" s="302">
        <f>VLOOKUP(A280,'OPEB Amounts_Report'!$A$10:$A$321,1,FALSE)</f>
        <v>2750</v>
      </c>
      <c r="G280" s="125"/>
      <c r="H280" s="126"/>
    </row>
    <row r="281" spans="1:8">
      <c r="A281" s="220">
        <v>2770</v>
      </c>
      <c r="B281" s="221" t="s">
        <v>267</v>
      </c>
      <c r="C281" s="224">
        <v>100243</v>
      </c>
      <c r="D281" s="226">
        <v>1.0379E-3</v>
      </c>
      <c r="E281" s="146"/>
      <c r="F281" s="302">
        <f>VLOOKUP(A281,'OPEB Amounts_Report'!$A$10:$A$321,1,FALSE)</f>
        <v>2770</v>
      </c>
      <c r="G281" s="125"/>
      <c r="H281" s="126"/>
    </row>
    <row r="282" spans="1:8">
      <c r="A282" s="218">
        <v>32106</v>
      </c>
      <c r="B282" s="219" t="s">
        <v>268</v>
      </c>
      <c r="C282" s="223">
        <v>15491</v>
      </c>
      <c r="D282" s="225">
        <v>1.604E-4</v>
      </c>
      <c r="E282" s="146"/>
      <c r="F282" s="302">
        <f>VLOOKUP(A282,'OPEB Amounts_Report'!$A$10:$A$321,1,FALSE)</f>
        <v>32106</v>
      </c>
      <c r="G282" s="125"/>
      <c r="H282" s="126"/>
    </row>
    <row r="283" spans="1:8">
      <c r="A283" s="220">
        <v>4180</v>
      </c>
      <c r="B283" s="221" t="s">
        <v>269</v>
      </c>
      <c r="C283" s="224">
        <v>15224</v>
      </c>
      <c r="D283" s="226">
        <v>1.5760000000000001E-4</v>
      </c>
      <c r="E283" s="146"/>
      <c r="F283" s="302">
        <f>VLOOKUP(A283,'OPEB Amounts_Report'!$A$10:$A$321,1,FALSE)</f>
        <v>4180</v>
      </c>
      <c r="G283" s="125"/>
      <c r="H283" s="126"/>
    </row>
    <row r="284" spans="1:8">
      <c r="A284" s="218">
        <v>21063</v>
      </c>
      <c r="B284" s="219" t="s">
        <v>270</v>
      </c>
      <c r="C284" s="223">
        <v>180687</v>
      </c>
      <c r="D284" s="225">
        <v>1.8707999999999999E-3</v>
      </c>
      <c r="E284" s="146"/>
      <c r="F284" s="302">
        <f>VLOOKUP(A284,'OPEB Amounts_Report'!$A$10:$A$321,1,FALSE)</f>
        <v>21063</v>
      </c>
      <c r="G284" s="125"/>
      <c r="H284" s="126"/>
    </row>
    <row r="285" spans="1:8">
      <c r="A285" s="220">
        <v>10033</v>
      </c>
      <c r="B285" s="221" t="s">
        <v>271</v>
      </c>
      <c r="C285" s="224">
        <v>128026</v>
      </c>
      <c r="D285" s="226">
        <v>1.3255000000000001E-3</v>
      </c>
      <c r="E285" s="146"/>
      <c r="F285" s="302">
        <f>VLOOKUP(A285,'OPEB Amounts_Report'!$A$10:$A$321,1,FALSE)</f>
        <v>10033</v>
      </c>
      <c r="G285" s="125"/>
      <c r="H285" s="126"/>
    </row>
    <row r="286" spans="1:8">
      <c r="A286" s="218">
        <v>15049</v>
      </c>
      <c r="B286" s="219" t="s">
        <v>272</v>
      </c>
      <c r="C286" s="223">
        <v>127740</v>
      </c>
      <c r="D286" s="225">
        <v>1.3225999999999999E-3</v>
      </c>
      <c r="E286" s="146"/>
      <c r="F286" s="302">
        <f>VLOOKUP(A286,'OPEB Amounts_Report'!$A$10:$A$321,1,FALSE)</f>
        <v>15049</v>
      </c>
      <c r="G286" s="125"/>
      <c r="H286" s="126"/>
    </row>
    <row r="287" spans="1:8">
      <c r="A287" s="220">
        <v>1315</v>
      </c>
      <c r="B287" s="221" t="s">
        <v>273</v>
      </c>
      <c r="C287" s="224">
        <v>73963</v>
      </c>
      <c r="D287" s="226">
        <v>7.6579999999999997E-4</v>
      </c>
      <c r="E287" s="146"/>
      <c r="F287" s="302">
        <f>VLOOKUP(A287,'OPEB Amounts_Report'!$A$10:$A$321,1,FALSE)</f>
        <v>1315</v>
      </c>
      <c r="G287" s="125"/>
      <c r="H287" s="126"/>
    </row>
    <row r="288" spans="1:8">
      <c r="A288" s="218">
        <v>3340</v>
      </c>
      <c r="B288" s="219" t="s">
        <v>274</v>
      </c>
      <c r="C288" s="223">
        <v>33043</v>
      </c>
      <c r="D288" s="225">
        <v>3.4210000000000002E-4</v>
      </c>
      <c r="E288" s="146"/>
      <c r="F288" s="302">
        <f>VLOOKUP(A288,'OPEB Amounts_Report'!$A$10:$A$321,1,FALSE)</f>
        <v>3340</v>
      </c>
      <c r="G288" s="125"/>
      <c r="H288" s="126"/>
    </row>
    <row r="289" spans="1:8">
      <c r="A289" s="220">
        <v>3350</v>
      </c>
      <c r="B289" s="221" t="s">
        <v>275</v>
      </c>
      <c r="C289" s="224">
        <v>164430</v>
      </c>
      <c r="D289" s="226">
        <v>1.7024E-3</v>
      </c>
      <c r="E289" s="146"/>
      <c r="F289" s="302">
        <f>VLOOKUP(A289,'OPEB Amounts_Report'!$A$10:$A$321,1,FALSE)</f>
        <v>3350</v>
      </c>
      <c r="G289" s="125"/>
      <c r="H289" s="126"/>
    </row>
    <row r="290" spans="1:8">
      <c r="A290" s="218">
        <v>24073</v>
      </c>
      <c r="B290" s="219" t="s">
        <v>276</v>
      </c>
      <c r="C290" s="223">
        <v>23011</v>
      </c>
      <c r="D290" s="225">
        <v>2.3819999999999999E-4</v>
      </c>
      <c r="E290" s="146"/>
      <c r="F290" s="302">
        <f>VLOOKUP(A290,'OPEB Amounts_Report'!$A$10:$A$321,1,FALSE)</f>
        <v>24073</v>
      </c>
      <c r="G290" s="125"/>
      <c r="H290" s="126"/>
    </row>
    <row r="291" spans="1:8">
      <c r="A291" s="220">
        <v>2100</v>
      </c>
      <c r="B291" s="221" t="s">
        <v>277</v>
      </c>
      <c r="C291" s="224">
        <v>27903</v>
      </c>
      <c r="D291" s="226">
        <v>2.8889999999999997E-4</v>
      </c>
      <c r="E291" s="146"/>
      <c r="F291" s="302">
        <f>VLOOKUP(A291,'OPEB Amounts_Report'!$A$10:$A$321,1,FALSE)</f>
        <v>2100</v>
      </c>
      <c r="G291" s="125"/>
      <c r="H291" s="126"/>
    </row>
    <row r="292" spans="1:8">
      <c r="A292" s="218">
        <v>2130</v>
      </c>
      <c r="B292" s="219" t="s">
        <v>278</v>
      </c>
      <c r="C292" s="223">
        <v>9169</v>
      </c>
      <c r="D292" s="225">
        <v>9.4900000000000003E-5</v>
      </c>
      <c r="E292" s="146"/>
      <c r="F292" s="302">
        <f>VLOOKUP(A292,'OPEB Amounts_Report'!$A$10:$A$321,1,FALSE)</f>
        <v>2130</v>
      </c>
      <c r="G292" s="125"/>
      <c r="H292" s="126"/>
    </row>
    <row r="293" spans="1:8">
      <c r="A293" s="220">
        <v>32099</v>
      </c>
      <c r="B293" s="221" t="s">
        <v>279</v>
      </c>
      <c r="C293" s="224">
        <v>9191</v>
      </c>
      <c r="D293" s="226">
        <v>9.5199999999999997E-5</v>
      </c>
      <c r="E293" s="146"/>
      <c r="F293" s="302">
        <f>VLOOKUP(A293,'OPEB Amounts_Report'!$A$10:$A$321,1,FALSE)</f>
        <v>32099</v>
      </c>
      <c r="G293" s="125"/>
      <c r="H293" s="126"/>
    </row>
    <row r="294" spans="1:8">
      <c r="A294" s="218">
        <v>32100</v>
      </c>
      <c r="B294" s="219" t="s">
        <v>280</v>
      </c>
      <c r="C294" s="223">
        <v>20382</v>
      </c>
      <c r="D294" s="225">
        <v>2.1100000000000001E-4</v>
      </c>
      <c r="E294" s="146"/>
      <c r="F294" s="302">
        <f>VLOOKUP(A294,'OPEB Amounts_Report'!$A$10:$A$321,1,FALSE)</f>
        <v>32100</v>
      </c>
      <c r="G294" s="125"/>
      <c r="H294" s="126"/>
    </row>
    <row r="295" spans="1:8">
      <c r="A295" s="220">
        <v>32101</v>
      </c>
      <c r="B295" s="221" t="s">
        <v>281</v>
      </c>
      <c r="C295" s="224">
        <v>1001</v>
      </c>
      <c r="D295" s="226">
        <v>1.04E-5</v>
      </c>
      <c r="E295" s="146"/>
      <c r="F295" s="302">
        <f>VLOOKUP(A295,'OPEB Amounts_Report'!$A$10:$A$321,1,FALSE)</f>
        <v>32101</v>
      </c>
      <c r="G295" s="125"/>
      <c r="H295" s="126"/>
    </row>
    <row r="296" spans="1:8">
      <c r="A296" s="218">
        <v>32102</v>
      </c>
      <c r="B296" s="219" t="s">
        <v>282</v>
      </c>
      <c r="C296" s="223">
        <v>12132</v>
      </c>
      <c r="D296" s="225">
        <v>1.2559999999999999E-4</v>
      </c>
      <c r="E296" s="146"/>
      <c r="F296" s="302">
        <f>VLOOKUP(A296,'OPEB Amounts_Report'!$A$10:$A$321,1,FALSE)</f>
        <v>32102</v>
      </c>
      <c r="G296" s="125"/>
      <c r="H296" s="126"/>
    </row>
    <row r="297" spans="1:8" s="216" customFormat="1">
      <c r="A297" s="220">
        <v>2880</v>
      </c>
      <c r="B297" s="249" t="s">
        <v>283</v>
      </c>
      <c r="C297" s="321">
        <v>4104</v>
      </c>
      <c r="D297" s="251">
        <v>4.2500000000000003E-5</v>
      </c>
      <c r="E297" s="146"/>
      <c r="F297" s="302">
        <f>VLOOKUP(A297,'OPEB Amounts_Report'!$A$10:$A$321,1,FALSE)</f>
        <v>2880</v>
      </c>
      <c r="G297" s="125"/>
      <c r="H297" s="126"/>
    </row>
    <row r="298" spans="1:8" s="216" customFormat="1">
      <c r="A298" s="218">
        <v>2490</v>
      </c>
      <c r="B298" s="219" t="s">
        <v>284</v>
      </c>
      <c r="C298" s="223">
        <v>27291</v>
      </c>
      <c r="D298" s="225">
        <v>2.8259999999999998E-4</v>
      </c>
      <c r="E298" s="146"/>
      <c r="F298" s="302">
        <f>VLOOKUP(A298,'OPEB Amounts_Report'!$A$10:$A$321,1,FALSE)</f>
        <v>2490</v>
      </c>
      <c r="G298" s="125"/>
      <c r="H298" s="126"/>
    </row>
    <row r="299" spans="1:8" s="216" customFormat="1">
      <c r="A299" s="220">
        <v>2530</v>
      </c>
      <c r="B299" s="221" t="s">
        <v>285</v>
      </c>
      <c r="C299" s="224">
        <v>2948</v>
      </c>
      <c r="D299" s="226">
        <v>3.0499999999999999E-5</v>
      </c>
      <c r="E299" s="146"/>
      <c r="F299" s="302">
        <f>VLOOKUP(A299,'OPEB Amounts_Report'!$A$10:$A$321,1,FALSE)</f>
        <v>2530</v>
      </c>
      <c r="G299" s="125"/>
      <c r="H299" s="126"/>
    </row>
    <row r="300" spans="1:8" s="216" customFormat="1">
      <c r="A300" s="218">
        <v>2560</v>
      </c>
      <c r="B300" s="219" t="s">
        <v>286</v>
      </c>
      <c r="C300" s="223">
        <v>8741</v>
      </c>
      <c r="D300" s="225">
        <v>9.0500000000000004E-5</v>
      </c>
      <c r="E300" s="146"/>
      <c r="F300" s="302">
        <f>VLOOKUP(A300,'OPEB Amounts_Report'!$A$10:$A$321,1,FALSE)</f>
        <v>2560</v>
      </c>
      <c r="G300" s="125"/>
      <c r="H300" s="126"/>
    </row>
    <row r="301" spans="1:8" s="216" customFormat="1">
      <c r="A301" s="220">
        <v>2610</v>
      </c>
      <c r="B301" s="221" t="s">
        <v>287</v>
      </c>
      <c r="C301" s="224">
        <v>3352</v>
      </c>
      <c r="D301" s="226">
        <v>3.4700000000000003E-5</v>
      </c>
      <c r="E301" s="146"/>
      <c r="F301" s="302">
        <f>VLOOKUP(A301,'OPEB Amounts_Report'!$A$10:$A$321,1,FALSE)</f>
        <v>2610</v>
      </c>
      <c r="G301" s="125"/>
      <c r="H301" s="126"/>
    </row>
    <row r="302" spans="1:8" s="216" customFormat="1">
      <c r="A302" s="218">
        <v>2800</v>
      </c>
      <c r="B302" s="219" t="s">
        <v>288</v>
      </c>
      <c r="C302" s="223">
        <v>8476</v>
      </c>
      <c r="D302" s="225">
        <v>8.7800000000000006E-5</v>
      </c>
      <c r="E302" s="146"/>
      <c r="F302" s="302">
        <f>VLOOKUP(A302,'OPEB Amounts_Report'!$A$10:$A$321,1,FALSE)</f>
        <v>2800</v>
      </c>
      <c r="G302" s="125"/>
      <c r="H302" s="126"/>
    </row>
    <row r="303" spans="1:8" s="216" customFormat="1">
      <c r="A303" s="220">
        <v>20317</v>
      </c>
      <c r="B303" s="221" t="s">
        <v>289</v>
      </c>
      <c r="C303" s="224">
        <v>14060</v>
      </c>
      <c r="D303" s="226">
        <v>1.4559999999999999E-4</v>
      </c>
      <c r="E303" s="146"/>
      <c r="F303" s="302">
        <f>VLOOKUP(A303,'OPEB Amounts_Report'!$A$10:$A$321,1,FALSE)</f>
        <v>20317</v>
      </c>
      <c r="G303" s="125"/>
      <c r="H303" s="126"/>
    </row>
    <row r="304" spans="1:8" s="216" customFormat="1">
      <c r="A304" s="218">
        <v>2442</v>
      </c>
      <c r="B304" s="219" t="s">
        <v>451</v>
      </c>
      <c r="C304" s="223">
        <v>1617</v>
      </c>
      <c r="D304" s="225">
        <v>1.6699999999999999E-5</v>
      </c>
      <c r="E304" s="146"/>
      <c r="F304" s="302">
        <f>VLOOKUP(A304,'OPEB Amounts_Report'!$A$10:$A$321,1,FALSE)</f>
        <v>2442</v>
      </c>
      <c r="G304" s="125"/>
      <c r="H304" s="126"/>
    </row>
    <row r="305" spans="1:8" s="216" customFormat="1">
      <c r="A305" s="220">
        <v>30090</v>
      </c>
      <c r="B305" s="221" t="s">
        <v>290</v>
      </c>
      <c r="C305" s="224">
        <v>31021</v>
      </c>
      <c r="D305" s="226">
        <v>3.212E-4</v>
      </c>
      <c r="E305" s="146"/>
      <c r="F305" s="302">
        <f>VLOOKUP(A305,'OPEB Amounts_Report'!$A$10:$A$321,1,FALSE)</f>
        <v>30090</v>
      </c>
      <c r="G305" s="125"/>
      <c r="H305" s="126"/>
    </row>
    <row r="306" spans="1:8" s="216" customFormat="1">
      <c r="A306" s="218">
        <v>29330</v>
      </c>
      <c r="B306" s="219" t="s">
        <v>291</v>
      </c>
      <c r="C306" s="223">
        <v>11028</v>
      </c>
      <c r="D306" s="225">
        <v>1.142E-4</v>
      </c>
      <c r="E306" s="146"/>
      <c r="F306" s="302">
        <f>VLOOKUP(A306,'OPEB Amounts_Report'!$A$10:$A$321,1,FALSE)</f>
        <v>29330</v>
      </c>
      <c r="G306" s="125"/>
      <c r="H306" s="126"/>
    </row>
    <row r="307" spans="1:8">
      <c r="A307" s="220">
        <v>12038</v>
      </c>
      <c r="B307" s="221" t="s">
        <v>292</v>
      </c>
      <c r="C307" s="224">
        <v>240592</v>
      </c>
      <c r="D307" s="226">
        <v>2.4910000000000002E-3</v>
      </c>
      <c r="E307" s="146"/>
      <c r="F307" s="302">
        <f>VLOOKUP(A307,'OPEB Amounts_Report'!$A$10:$A$321,1,FALSE)</f>
        <v>12038</v>
      </c>
      <c r="G307" s="125"/>
      <c r="H307" s="126"/>
    </row>
    <row r="308" spans="1:8">
      <c r="A308" s="218">
        <v>8099</v>
      </c>
      <c r="B308" s="219" t="s">
        <v>293</v>
      </c>
      <c r="C308" s="223">
        <v>377862</v>
      </c>
      <c r="D308" s="225">
        <v>3.9122000000000002E-3</v>
      </c>
      <c r="E308" s="146"/>
      <c r="F308" s="302">
        <f>VLOOKUP(A308,'OPEB Amounts_Report'!$A$10:$A$321,1,FALSE)</f>
        <v>8099</v>
      </c>
      <c r="G308" s="125"/>
      <c r="H308" s="126"/>
    </row>
    <row r="309" spans="1:8">
      <c r="A309" s="220">
        <v>2417</v>
      </c>
      <c r="B309" s="221" t="s">
        <v>294</v>
      </c>
      <c r="C309" s="224">
        <v>8103</v>
      </c>
      <c r="D309" s="226">
        <v>8.3900000000000006E-5</v>
      </c>
      <c r="E309" s="139"/>
      <c r="F309" s="302">
        <f>VLOOKUP(A309,'OPEB Amounts_Report'!$A$10:$A$321,1,FALSE)</f>
        <v>2417</v>
      </c>
      <c r="G309" s="125"/>
      <c r="H309" s="126"/>
    </row>
    <row r="310" spans="1:8">
      <c r="A310" s="218">
        <v>13142</v>
      </c>
      <c r="B310" s="219" t="s">
        <v>295</v>
      </c>
      <c r="C310" s="204">
        <v>224847</v>
      </c>
      <c r="D310" s="203">
        <v>2.3280000000000002E-3</v>
      </c>
      <c r="E310" s="140"/>
      <c r="F310" s="302">
        <f>VLOOKUP(A310,'OPEB Amounts_Report'!$A$10:$A$321,1,FALSE)</f>
        <v>13142</v>
      </c>
    </row>
    <row r="311" spans="1:8" s="216" customFormat="1">
      <c r="A311" s="229"/>
      <c r="B311" s="233"/>
      <c r="C311" s="304"/>
      <c r="D311" s="232"/>
      <c r="E311" s="140"/>
      <c r="F311" s="140"/>
    </row>
    <row r="312" spans="1:8" s="216" customFormat="1" ht="13.5" thickBot="1">
      <c r="A312" s="229"/>
      <c r="B312" s="233"/>
      <c r="C312" s="274">
        <f>SUM(C9:C311)</f>
        <v>96585103</v>
      </c>
      <c r="D312" s="234">
        <f>SUM(D9:D311)</f>
        <v>1</v>
      </c>
      <c r="E312" s="140"/>
      <c r="F312" s="140"/>
    </row>
    <row r="313" spans="1:8" s="216" customFormat="1" ht="13.5" thickTop="1">
      <c r="A313" s="229"/>
      <c r="B313" s="233"/>
      <c r="C313" s="304"/>
      <c r="D313" s="232"/>
      <c r="E313" s="140"/>
      <c r="F313" s="140"/>
    </row>
    <row r="314" spans="1:8" s="216" customFormat="1">
      <c r="A314" s="229"/>
      <c r="B314" s="233"/>
      <c r="E314" s="140"/>
      <c r="F314" s="140"/>
    </row>
    <row r="315" spans="1:8" s="216" customFormat="1">
      <c r="A315" s="229"/>
      <c r="B315" s="233"/>
      <c r="C315" s="304"/>
      <c r="D315" s="232"/>
      <c r="E315" s="140"/>
      <c r="F315" s="140"/>
    </row>
    <row r="316" spans="1:8" s="216" customFormat="1">
      <c r="A316" s="229"/>
      <c r="B316" s="233"/>
      <c r="C316" s="304"/>
      <c r="D316" s="232"/>
      <c r="E316" s="140"/>
      <c r="F316" s="140"/>
    </row>
    <row r="317" spans="1:8">
      <c r="A317" s="34"/>
      <c r="B317" s="11"/>
      <c r="C317" s="180"/>
      <c r="D317" s="11"/>
    </row>
  </sheetData>
  <mergeCells count="3">
    <mergeCell ref="A1:D1"/>
    <mergeCell ref="A2:D2"/>
    <mergeCell ref="A3:D3"/>
  </mergeCells>
  <pageMargins left="0.7" right="0.7" top="0.5" bottom="0.5" header="0.5" footer="0.5"/>
  <pageSetup scale="75" firstPageNumber="3" orientation="portrait" useFirstPageNumber="1" r:id="rId1"/>
  <headerFooter differentOddEven="1" scaleWithDoc="0">
    <oddFooter>&amp;R&amp;"Arial,Regular"&amp;10&amp;P</oddFooter>
    <evenHeader xml:space="preserve">&amp;L&amp;"Arial,Bold"&amp;12
</evenHeader>
    <evenFooter>&amp;R&amp;"Arial,Regular"&amp;10&amp;P</evenFooter>
  </headerFooter>
  <rowBreaks count="4" manualBreakCount="4">
    <brk id="72" max="3" man="1"/>
    <brk id="135" max="3" man="1"/>
    <brk id="198" max="3" man="1"/>
    <brk id="25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908EE-58B2-4720-B5EF-731975F374BC}">
  <dimension ref="A1"/>
  <sheetViews>
    <sheetView workbookViewId="0"/>
  </sheetViews>
  <sheetFormatPr defaultColWidth="8.85546875" defaultRowHeight="15"/>
  <cols>
    <col min="1" max="16384" width="8.85546875" style="31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332"/>
  <sheetViews>
    <sheetView view="pageBreakPreview" topLeftCell="A292" zoomScaleNormal="100" zoomScaleSheetLayoutView="100" workbookViewId="0">
      <selection activeCell="Q327" sqref="Q327"/>
    </sheetView>
  </sheetViews>
  <sheetFormatPr defaultRowHeight="12" customHeight="1"/>
  <cols>
    <col min="1" max="1" width="10" customWidth="1"/>
    <col min="2" max="2" width="57.28515625" customWidth="1"/>
    <col min="3" max="3" width="14.28515625" bestFit="1" customWidth="1"/>
    <col min="4" max="4" width="12.42578125" style="205" customWidth="1"/>
    <col min="5" max="6" width="13.7109375" style="205" customWidth="1"/>
    <col min="7" max="7" width="13.7109375" customWidth="1"/>
    <col min="8" max="8" width="1" customWidth="1"/>
    <col min="9" max="9" width="11.7109375" customWidth="1"/>
    <col min="10" max="10" width="11.7109375" style="215" customWidth="1"/>
    <col min="11" max="11" width="12.7109375" customWidth="1"/>
    <col min="12" max="12" width="11.7109375" customWidth="1"/>
    <col min="13" max="13" width="13.5703125" customWidth="1"/>
    <col min="14" max="14" width="0.7109375" customWidth="1"/>
    <col min="15" max="15" width="13.5703125" customWidth="1"/>
    <col min="16" max="16" width="11.7109375" customWidth="1"/>
    <col min="17" max="17" width="12.28515625" bestFit="1" customWidth="1"/>
  </cols>
  <sheetData>
    <row r="1" spans="1:17" ht="15" customHeight="1">
      <c r="A1" s="408" t="s">
        <v>392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</row>
    <row r="2" spans="1:17" ht="15" customHeight="1">
      <c r="A2" s="409" t="s">
        <v>394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</row>
    <row r="3" spans="1:17" ht="15" customHeight="1">
      <c r="A3" s="409" t="s">
        <v>443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</row>
    <row r="4" spans="1:17" ht="15" customHeight="1"/>
    <row r="6" spans="1:17" ht="12" customHeight="1">
      <c r="A6" s="57"/>
      <c r="B6" s="57"/>
      <c r="C6" s="58"/>
      <c r="D6" s="407" t="s">
        <v>377</v>
      </c>
      <c r="E6" s="407"/>
      <c r="F6" s="407"/>
      <c r="G6" s="407"/>
      <c r="H6" s="58"/>
      <c r="I6" s="407" t="s">
        <v>296</v>
      </c>
      <c r="J6" s="407"/>
      <c r="K6" s="407"/>
      <c r="L6" s="407"/>
      <c r="M6" s="407"/>
      <c r="N6" s="57"/>
      <c r="O6" s="407" t="s">
        <v>398</v>
      </c>
      <c r="P6" s="407"/>
      <c r="Q6" s="407"/>
    </row>
    <row r="7" spans="1:17" ht="90.75" customHeight="1">
      <c r="A7" s="59" t="s">
        <v>0</v>
      </c>
      <c r="B7" s="59" t="s">
        <v>1</v>
      </c>
      <c r="C7" s="59" t="s">
        <v>452</v>
      </c>
      <c r="D7" s="59" t="s">
        <v>297</v>
      </c>
      <c r="E7" s="59" t="s">
        <v>299</v>
      </c>
      <c r="F7" s="206" t="s">
        <v>378</v>
      </c>
      <c r="G7" s="206" t="s">
        <v>379</v>
      </c>
      <c r="H7" s="59"/>
      <c r="I7" s="59" t="s">
        <v>297</v>
      </c>
      <c r="J7" s="59" t="s">
        <v>298</v>
      </c>
      <c r="K7" s="59" t="s">
        <v>299</v>
      </c>
      <c r="L7" s="59" t="s">
        <v>378</v>
      </c>
      <c r="M7" s="59" t="s">
        <v>300</v>
      </c>
      <c r="N7" s="59"/>
      <c r="O7" s="59" t="s">
        <v>400</v>
      </c>
      <c r="P7" s="59" t="s">
        <v>391</v>
      </c>
      <c r="Q7" s="59" t="s">
        <v>399</v>
      </c>
    </row>
    <row r="8" spans="1:17" ht="12" customHeight="1">
      <c r="A8" s="60"/>
      <c r="B8" s="61"/>
      <c r="C8" s="61">
        <v>3</v>
      </c>
      <c r="D8" s="61">
        <v>4</v>
      </c>
      <c r="E8" s="61">
        <v>5</v>
      </c>
      <c r="F8" s="96">
        <v>6</v>
      </c>
      <c r="G8" s="96">
        <v>7</v>
      </c>
      <c r="H8" s="96"/>
      <c r="I8" s="61">
        <v>8</v>
      </c>
      <c r="J8" s="61">
        <v>9</v>
      </c>
      <c r="K8" s="61">
        <v>10</v>
      </c>
      <c r="L8" s="61">
        <v>11</v>
      </c>
      <c r="M8" s="61">
        <v>12</v>
      </c>
      <c r="N8" s="61"/>
      <c r="O8" s="61">
        <v>13</v>
      </c>
      <c r="P8" s="61">
        <v>14</v>
      </c>
      <c r="Q8" s="61">
        <v>15</v>
      </c>
    </row>
    <row r="9" spans="1:17" ht="12" customHeight="1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7" ht="12" customHeight="1">
      <c r="A10" s="62">
        <v>1341</v>
      </c>
      <c r="B10" s="63" t="s">
        <v>5</v>
      </c>
      <c r="C10" s="171">
        <f>ROUND(VLOOKUP(A10,'Contribution Allocation_Report'!$A$9:$D$310,4,FALSE)*'OPEB Amounts_Report'!$C$323,0)-4</f>
        <v>793747857</v>
      </c>
      <c r="D10" s="171">
        <f>ROUND(VLOOKUP(A10,'Contribution Allocation_Report'!$A$9:$D$310,4,FALSE)*'OPEB Amounts_Report'!$D$323,0)-3</f>
        <v>11605637</v>
      </c>
      <c r="E10" s="171">
        <f>ROUND(VLOOKUP(A10,'Contribution Allocation_Report'!$A$9:$D$310,4,FALSE)*'OPEB Amounts_Report'!$E$323,0)+7</f>
        <v>158915678</v>
      </c>
      <c r="F10" s="171">
        <f>INDEX('Change in Proportion Layers'!$Z$8:$Z$321,MATCH('OPEB Amounts_Report'!A10,'Change in Proportion Layers'!$A$8:$A$321,0))</f>
        <v>6519527</v>
      </c>
      <c r="G10" s="171">
        <f>SUM(D10:F10)</f>
        <v>177040842</v>
      </c>
      <c r="H10" s="171"/>
      <c r="I10" s="171">
        <f>ROUND(VLOOKUP(A10,'Contribution Allocation_Report'!$A$9:$D$310,4,FALSE)*'OPEB Amounts_Report'!$I$323,0)+1</f>
        <v>126586276</v>
      </c>
      <c r="J10" s="171">
        <f>ROUND(VLOOKUP(A10,'Contribution Allocation_Report'!$A$9:$D$310,4,FALSE)*'OPEB Amounts_Report'!$J$323,0)</f>
        <v>22752111</v>
      </c>
      <c r="K10" s="171">
        <f>ROUND(VLOOKUP(A10,'Contribution Allocation_Report'!$A$9:$D$310,4,FALSE)*'OPEB Amounts_Report'!$K$323,0)-10</f>
        <v>286967981</v>
      </c>
      <c r="L10" s="173">
        <f>INDEX('Change in Proportion Layers'!$AA$8:$AA$321,MATCH('OPEB Amounts_Report'!A10,'Change in Proportion Layers'!$A$8:$A$321,0))</f>
        <v>6887129</v>
      </c>
      <c r="M10" s="171">
        <f t="shared" ref="M10:M74" si="0">SUM(I10:L10)</f>
        <v>443193497</v>
      </c>
      <c r="N10" s="172"/>
      <c r="O10" s="172">
        <f>ROUND(VLOOKUP(A10,'Contribution Allocation_Report'!$A$9:$D$310,4,FALSE)*'OPEB Amounts_Report'!$O$323,0)-6</f>
        <v>-85480009</v>
      </c>
      <c r="P10" s="172">
        <f>INDEX('Change in Proportion Layers'!$X$8:$X$321,MATCH('OPEB Amounts_Report'!A10,'Change in Proportion Layers'!$A$8:$A$321,0))</f>
        <v>79442</v>
      </c>
      <c r="Q10" s="172">
        <f>+O10+P10</f>
        <v>-85400567</v>
      </c>
    </row>
    <row r="11" spans="1:17" ht="12" customHeight="1">
      <c r="A11" s="64">
        <v>2308</v>
      </c>
      <c r="B11" s="65" t="s">
        <v>6</v>
      </c>
      <c r="C11" s="89">
        <f>ROUND(VLOOKUP(A11,'Contribution Allocation_Report'!$A$9:$D$310,4,FALSE)*'OPEB Amounts_Report'!$C$323,0)</f>
        <v>1237830</v>
      </c>
      <c r="D11" s="89">
        <f>ROUND(VLOOKUP(A11,'Contribution Allocation_Report'!$A$9:$D$310,4,FALSE)*'OPEB Amounts_Report'!$D$323,0)</f>
        <v>18099</v>
      </c>
      <c r="E11" s="89">
        <f>ROUND(VLOOKUP(A11,'Contribution Allocation_Report'!$A$9:$D$310,4,FALSE)*'OPEB Amounts_Report'!$E$323,0)</f>
        <v>247825</v>
      </c>
      <c r="F11" s="89">
        <f>INDEX('Change in Proportion Layers'!$Z$8:$Z$321,MATCH('OPEB Amounts_Report'!A11,'Change in Proportion Layers'!$A$8:$A$321,0))</f>
        <v>403809</v>
      </c>
      <c r="G11" s="89">
        <f t="shared" ref="G11:G74" si="1">SUM(D11:F11)</f>
        <v>669733</v>
      </c>
      <c r="H11" s="89"/>
      <c r="I11" s="89">
        <f>ROUND(VLOOKUP(A11,'Contribution Allocation_Report'!$A$9:$D$310,4,FALSE)*'OPEB Amounts_Report'!$I$323,0)</f>
        <v>197408</v>
      </c>
      <c r="J11" s="89">
        <f>ROUND(VLOOKUP(A11,'Contribution Allocation_Report'!$A$9:$D$310,4,FALSE)*'OPEB Amounts_Report'!$J$323,0)</f>
        <v>35481</v>
      </c>
      <c r="K11" s="89">
        <f>ROUND(VLOOKUP(A11,'Contribution Allocation_Report'!$A$9:$D$310,4,FALSE)*'OPEB Amounts_Report'!$K$323,0)</f>
        <v>447519</v>
      </c>
      <c r="L11" s="89">
        <f>INDEX('Change in Proportion Layers'!$AA$8:$AA$321,MATCH('OPEB Amounts_Report'!A11,'Change in Proportion Layers'!$A$8:$A$321,0))</f>
        <v>32577</v>
      </c>
      <c r="M11" s="89">
        <f t="shared" si="0"/>
        <v>712985</v>
      </c>
      <c r="N11" s="90"/>
      <c r="O11" s="90">
        <f>ROUND(VLOOKUP(A11,'Contribution Allocation_Report'!$A$9:$D$310,4,FALSE)*'OPEB Amounts_Report'!$O$323,0)</f>
        <v>-133304</v>
      </c>
      <c r="P11" s="90">
        <f>INDEX('Change in Proportion Layers'!$X$8:$X$321,MATCH('OPEB Amounts_Report'!A11,'Change in Proportion Layers'!$A$8:$A$321,0))</f>
        <v>87828</v>
      </c>
      <c r="Q11" s="90">
        <f t="shared" ref="Q11:Q74" si="2">+O11+P11</f>
        <v>-45476</v>
      </c>
    </row>
    <row r="12" spans="1:17" ht="12" customHeight="1">
      <c r="A12" s="62">
        <v>2340</v>
      </c>
      <c r="B12" s="66" t="s">
        <v>7</v>
      </c>
      <c r="C12" s="70">
        <f>ROUND(VLOOKUP(A12,'Contribution Allocation_Report'!$A$9:$D$310,4,FALSE)*'OPEB Amounts_Report'!$C$323,0)</f>
        <v>1331934</v>
      </c>
      <c r="D12" s="70">
        <f>ROUND(VLOOKUP(A12,'Contribution Allocation_Report'!$A$9:$D$310,4,FALSE)*'OPEB Amounts_Report'!$D$323,0)</f>
        <v>19475</v>
      </c>
      <c r="E12" s="70">
        <f>ROUND(VLOOKUP(A12,'Contribution Allocation_Report'!$A$9:$D$310,4,FALSE)*'OPEB Amounts_Report'!$E$323,0)</f>
        <v>266665</v>
      </c>
      <c r="F12" s="70">
        <f>INDEX('Change in Proportion Layers'!$Z$8:$Z$321,MATCH('OPEB Amounts_Report'!A12,'Change in Proportion Layers'!$A$8:$A$321,0))</f>
        <v>47841</v>
      </c>
      <c r="G12" s="70">
        <f t="shared" si="1"/>
        <v>333981</v>
      </c>
      <c r="H12" s="70"/>
      <c r="I12" s="70">
        <f>ROUND(VLOOKUP(A12,'Contribution Allocation_Report'!$A$9:$D$310,4,FALSE)*'OPEB Amounts_Report'!$I$323,0)</f>
        <v>212416</v>
      </c>
      <c r="J12" s="70">
        <f>ROUND(VLOOKUP(A12,'Contribution Allocation_Report'!$A$9:$D$310,4,FALSE)*'OPEB Amounts_Report'!$J$323,0)</f>
        <v>38179</v>
      </c>
      <c r="K12" s="70">
        <f>ROUND(VLOOKUP(A12,'Contribution Allocation_Report'!$A$9:$D$310,4,FALSE)*'OPEB Amounts_Report'!$K$323,0)</f>
        <v>481541</v>
      </c>
      <c r="L12" s="70">
        <f>INDEX('Change in Proportion Layers'!$AA$8:$AA$321,MATCH('OPEB Amounts_Report'!A12,'Change in Proportion Layers'!$A$8:$A$321,0))</f>
        <v>61160</v>
      </c>
      <c r="M12" s="70">
        <f t="shared" si="0"/>
        <v>793296</v>
      </c>
      <c r="N12" s="71"/>
      <c r="O12" s="71">
        <f>ROUND(VLOOKUP(A12,'Contribution Allocation_Report'!$A$9:$D$310,4,FALSE)*'OPEB Amounts_Report'!$O$323,0)</f>
        <v>-143438</v>
      </c>
      <c r="P12" s="71">
        <f>INDEX('Change in Proportion Layers'!$X$8:$X$321,MATCH('OPEB Amounts_Report'!A12,'Change in Proportion Layers'!$A$8:$A$321,0))</f>
        <v>-6331</v>
      </c>
      <c r="Q12" s="71">
        <f t="shared" si="2"/>
        <v>-149769</v>
      </c>
    </row>
    <row r="13" spans="1:17" ht="12" customHeight="1">
      <c r="A13" s="64">
        <v>1301</v>
      </c>
      <c r="B13" s="65" t="s">
        <v>8</v>
      </c>
      <c r="C13" s="89">
        <f>ROUND(VLOOKUP(A13,'Contribution Allocation_Report'!$A$9:$D$310,4,FALSE)*'OPEB Amounts_Report'!$C$323,0)</f>
        <v>1572787</v>
      </c>
      <c r="D13" s="89">
        <f>ROUND(VLOOKUP(A13,'Contribution Allocation_Report'!$A$9:$D$310,4,FALSE)*'OPEB Amounts_Report'!$D$323,0)</f>
        <v>22996</v>
      </c>
      <c r="E13" s="89">
        <f>ROUND(VLOOKUP(A13,'Contribution Allocation_Report'!$A$9:$D$310,4,FALSE)*'OPEB Amounts_Report'!$E$323,0)</f>
        <v>314887</v>
      </c>
      <c r="F13" s="89">
        <f>INDEX('Change in Proportion Layers'!$Z$8:$Z$321,MATCH('OPEB Amounts_Report'!A13,'Change in Proportion Layers'!$A$8:$A$321,0))</f>
        <v>288060</v>
      </c>
      <c r="G13" s="89">
        <f t="shared" si="1"/>
        <v>625943</v>
      </c>
      <c r="H13" s="89"/>
      <c r="I13" s="89">
        <f>ROUND(VLOOKUP(A13,'Contribution Allocation_Report'!$A$9:$D$310,4,FALSE)*'OPEB Amounts_Report'!$I$323,0)</f>
        <v>250827</v>
      </c>
      <c r="J13" s="89">
        <f>ROUND(VLOOKUP(A13,'Contribution Allocation_Report'!$A$9:$D$310,4,FALSE)*'OPEB Amounts_Report'!$J$323,0)</f>
        <v>45083</v>
      </c>
      <c r="K13" s="89">
        <f>ROUND(VLOOKUP(A13,'Contribution Allocation_Report'!$A$9:$D$310,4,FALSE)*'OPEB Amounts_Report'!$K$323,0)</f>
        <v>568618</v>
      </c>
      <c r="L13" s="89">
        <f>INDEX('Change in Proportion Layers'!$AA$8:$AA$321,MATCH('OPEB Amounts_Report'!A13,'Change in Proportion Layers'!$A$8:$A$321,0))</f>
        <v>26765</v>
      </c>
      <c r="M13" s="89">
        <f t="shared" si="0"/>
        <v>891293</v>
      </c>
      <c r="N13" s="90"/>
      <c r="O13" s="90">
        <f>ROUND(VLOOKUP(A13,'Contribution Allocation_Report'!$A$9:$D$310,4,FALSE)*'OPEB Amounts_Report'!$O$323,0)</f>
        <v>-169376</v>
      </c>
      <c r="P13" s="90">
        <f>INDEX('Change in Proportion Layers'!$X$8:$X$321,MATCH('OPEB Amounts_Report'!A13,'Change in Proportion Layers'!$A$8:$A$321,0))</f>
        <v>56387</v>
      </c>
      <c r="Q13" s="90">
        <f t="shared" si="2"/>
        <v>-112989</v>
      </c>
    </row>
    <row r="14" spans="1:17" ht="12" customHeight="1">
      <c r="A14" s="62">
        <v>2390</v>
      </c>
      <c r="B14" s="66" t="s">
        <v>9</v>
      </c>
      <c r="C14" s="70">
        <f>ROUND(VLOOKUP(A14,'Contribution Allocation_Report'!$A$9:$D$310,4,FALSE)*'OPEB Amounts_Report'!$C$323,0)</f>
        <v>1064428</v>
      </c>
      <c r="D14" s="70">
        <f>ROUND(VLOOKUP(A14,'Contribution Allocation_Report'!$A$9:$D$310,4,FALSE)*'OPEB Amounts_Report'!$D$323,0)</f>
        <v>15563</v>
      </c>
      <c r="E14" s="70">
        <f>ROUND(VLOOKUP(A14,'Contribution Allocation_Report'!$A$9:$D$310,4,FALSE)*'OPEB Amounts_Report'!$E$323,0)</f>
        <v>213108</v>
      </c>
      <c r="F14" s="70">
        <f>INDEX('Change in Proportion Layers'!$Z$8:$Z$321,MATCH('OPEB Amounts_Report'!A14,'Change in Proportion Layers'!$A$8:$A$321,0))</f>
        <v>90345</v>
      </c>
      <c r="G14" s="70">
        <f t="shared" si="1"/>
        <v>319016</v>
      </c>
      <c r="H14" s="70"/>
      <c r="I14" s="70">
        <f>ROUND(VLOOKUP(A14,'Contribution Allocation_Report'!$A$9:$D$310,4,FALSE)*'OPEB Amounts_Report'!$I$323,0)</f>
        <v>169754</v>
      </c>
      <c r="J14" s="70">
        <f>ROUND(VLOOKUP(A14,'Contribution Allocation_Report'!$A$9:$D$310,4,FALSE)*'OPEB Amounts_Report'!$J$323,0)</f>
        <v>30511</v>
      </c>
      <c r="K14" s="70">
        <f>ROUND(VLOOKUP(A14,'Contribution Allocation_Report'!$A$9:$D$310,4,FALSE)*'OPEB Amounts_Report'!$K$323,0)</f>
        <v>384829</v>
      </c>
      <c r="L14" s="70">
        <f>INDEX('Change in Proportion Layers'!$AA$8:$AA$321,MATCH('OPEB Amounts_Report'!A14,'Change in Proportion Layers'!$A$8:$A$321,0))</f>
        <v>283704</v>
      </c>
      <c r="M14" s="70">
        <f t="shared" si="0"/>
        <v>868798</v>
      </c>
      <c r="N14" s="71"/>
      <c r="O14" s="71">
        <f>ROUND(VLOOKUP(A14,'Contribution Allocation_Report'!$A$9:$D$310,4,FALSE)*'OPEB Amounts_Report'!$O$323,0)</f>
        <v>-114630</v>
      </c>
      <c r="P14" s="71">
        <f>INDEX('Change in Proportion Layers'!$X$8:$X$321,MATCH('OPEB Amounts_Report'!A14,'Change in Proportion Layers'!$A$8:$A$321,0))</f>
        <v>-83484</v>
      </c>
      <c r="Q14" s="71">
        <f t="shared" si="2"/>
        <v>-198114</v>
      </c>
    </row>
    <row r="15" spans="1:17" s="215" customFormat="1" ht="12" customHeight="1">
      <c r="A15" s="254">
        <v>2441</v>
      </c>
      <c r="B15" s="255" t="s">
        <v>444</v>
      </c>
      <c r="C15" s="89">
        <f>ROUND(VLOOKUP(A15,'Contribution Allocation_Report'!$A$9:$D$310,4,FALSE)*'OPEB Amounts_Report'!$C$323,0)</f>
        <v>266189</v>
      </c>
      <c r="D15" s="89">
        <f>ROUND(VLOOKUP(A15,'Contribution Allocation_Report'!$A$9:$D$310,4,FALSE)*'OPEB Amounts_Report'!$D$323,0)</f>
        <v>3892</v>
      </c>
      <c r="E15" s="89">
        <f>ROUND(VLOOKUP(A15,'Contribution Allocation_Report'!$A$9:$D$310,4,FALSE)*'OPEB Amounts_Report'!$E$323,0)</f>
        <v>53294</v>
      </c>
      <c r="F15" s="89">
        <f>INDEX('Change in Proportion Layers'!$Z$8:$Z$321,MATCH('OPEB Amounts_Report'!A15,'Change in Proportion Layers'!$A$8:$A$321,0))</f>
        <v>326292</v>
      </c>
      <c r="G15" s="89">
        <f t="shared" si="1"/>
        <v>383478</v>
      </c>
      <c r="H15" s="89"/>
      <c r="I15" s="89">
        <f>ROUND(VLOOKUP(A15,'Contribution Allocation_Report'!$A$9:$D$310,4,FALSE)*'OPEB Amounts_Report'!$I$323,0)</f>
        <v>42452</v>
      </c>
      <c r="J15" s="89">
        <f>ROUND(VLOOKUP(A15,'Contribution Allocation_Report'!$A$9:$D$310,4,FALSE)*'OPEB Amounts_Report'!$J$323,0)</f>
        <v>7630</v>
      </c>
      <c r="K15" s="89">
        <f>ROUND(VLOOKUP(A15,'Contribution Allocation_Report'!$A$9:$D$310,4,FALSE)*'OPEB Amounts_Report'!$K$323,0)</f>
        <v>96237</v>
      </c>
      <c r="L15" s="89">
        <f>INDEX('Change in Proportion Layers'!$AA$8:$AA$321,MATCH('OPEB Amounts_Report'!A15,'Change in Proportion Layers'!$A$8:$A$321,0))</f>
        <v>0</v>
      </c>
      <c r="M15" s="89">
        <f t="shared" si="0"/>
        <v>146319</v>
      </c>
      <c r="N15" s="90"/>
      <c r="O15" s="90">
        <f>ROUND(VLOOKUP(A15,'Contribution Allocation_Report'!$A$9:$D$310,4,FALSE)*'OPEB Amounts_Report'!$O$323,0)</f>
        <v>-28666</v>
      </c>
      <c r="P15" s="90">
        <f>INDEX('Change in Proportion Layers'!$X$8:$X$321,MATCH('OPEB Amounts_Report'!A15,'Change in Proportion Layers'!$A$8:$A$321,0))</f>
        <v>65520</v>
      </c>
      <c r="Q15" s="90">
        <f t="shared" si="2"/>
        <v>36854</v>
      </c>
    </row>
    <row r="16" spans="1:17" ht="12" customHeight="1">
      <c r="A16" s="62">
        <v>15046</v>
      </c>
      <c r="B16" s="66" t="s">
        <v>10</v>
      </c>
      <c r="C16" s="70">
        <f>ROUND(VLOOKUP(A16,'Contribution Allocation_Report'!$A$9:$D$310,4,FALSE)*'OPEB Amounts_Report'!$C$323,0)</f>
        <v>23127211</v>
      </c>
      <c r="D16" s="70">
        <f>ROUND(VLOOKUP(A16,'Contribution Allocation_Report'!$A$9:$D$310,4,FALSE)*'OPEB Amounts_Report'!$D$323,0)</f>
        <v>338150</v>
      </c>
      <c r="E16" s="70">
        <f>ROUND(VLOOKUP(A16,'Contribution Allocation_Report'!$A$9:$D$310,4,FALSE)*'OPEB Amounts_Report'!$E$323,0)</f>
        <v>4630282</v>
      </c>
      <c r="F16" s="296">
        <f>INDEX('Change in Proportion Layers'!$Z$8:$Z$321,MATCH('OPEB Amounts_Report'!A16,'Change in Proportion Layers'!$A$8:$A$321,0))</f>
        <v>1502372</v>
      </c>
      <c r="G16" s="70">
        <f t="shared" si="1"/>
        <v>6470804</v>
      </c>
      <c r="H16" s="70"/>
      <c r="I16" s="70">
        <f>ROUND(VLOOKUP(A16,'Contribution Allocation_Report'!$A$9:$D$310,4,FALSE)*'OPEB Amounts_Report'!$I$323,0)</f>
        <v>3688309</v>
      </c>
      <c r="J16" s="70">
        <f>ROUND(VLOOKUP(A16,'Contribution Allocation_Report'!$A$9:$D$310,4,FALSE)*'OPEB Amounts_Report'!$J$323,0)</f>
        <v>662922</v>
      </c>
      <c r="K16" s="70">
        <f>ROUND(VLOOKUP(A16,'Contribution Allocation_Report'!$A$9:$D$310,4,FALSE)*'OPEB Amounts_Report'!$K$323,0)</f>
        <v>8361307</v>
      </c>
      <c r="L16" s="70">
        <f>INDEX('Change in Proportion Layers'!$AA$8:$AA$321,MATCH('OPEB Amounts_Report'!A16,'Change in Proportion Layers'!$A$8:$A$321,0))</f>
        <v>426475</v>
      </c>
      <c r="M16" s="70">
        <f t="shared" si="0"/>
        <v>13139013</v>
      </c>
      <c r="N16" s="71"/>
      <c r="O16" s="71">
        <f>ROUND(VLOOKUP(A16,'Contribution Allocation_Report'!$A$9:$D$310,4,FALSE)*'OPEB Amounts_Report'!$O$323,0)</f>
        <v>-2490607</v>
      </c>
      <c r="P16" s="71">
        <f>INDEX('Change in Proportion Layers'!$X$8:$X$321,MATCH('OPEB Amounts_Report'!A16,'Change in Proportion Layers'!$A$8:$A$321,0))</f>
        <v>216758</v>
      </c>
      <c r="Q16" s="71">
        <f t="shared" si="2"/>
        <v>-2273849</v>
      </c>
    </row>
    <row r="17" spans="1:17" ht="12" customHeight="1">
      <c r="A17" s="254">
        <v>4380</v>
      </c>
      <c r="B17" s="255" t="s">
        <v>11</v>
      </c>
      <c r="C17" s="89">
        <f>ROUND(VLOOKUP(A17,'Contribution Allocation_Report'!$A$9:$D$310,4,FALSE)*'OPEB Amounts_Report'!$C$323,0)</f>
        <v>23845494</v>
      </c>
      <c r="D17" s="89">
        <f>ROUND(VLOOKUP(A17,'Contribution Allocation_Report'!$A$9:$D$310,4,FALSE)*'OPEB Amounts_Report'!$D$323,0)</f>
        <v>348653</v>
      </c>
      <c r="E17" s="89">
        <f>ROUND(VLOOKUP(A17,'Contribution Allocation_Report'!$A$9:$D$310,4,FALSE)*'OPEB Amounts_Report'!$E$323,0)</f>
        <v>4774089</v>
      </c>
      <c r="F17" s="89">
        <f>INDEX('Change in Proportion Layers'!$Z$8:$Z$321,MATCH('OPEB Amounts_Report'!A17,'Change in Proportion Layers'!$A$8:$A$321,0))</f>
        <v>292413</v>
      </c>
      <c r="G17" s="89">
        <f t="shared" si="1"/>
        <v>5415155</v>
      </c>
      <c r="H17" s="89"/>
      <c r="I17" s="89">
        <f>ROUND(VLOOKUP(A17,'Contribution Allocation_Report'!$A$9:$D$310,4,FALSE)*'OPEB Amounts_Report'!$I$323,0)</f>
        <v>3802860</v>
      </c>
      <c r="J17" s="89">
        <f>ROUND(VLOOKUP(A17,'Contribution Allocation_Report'!$A$9:$D$310,4,FALSE)*'OPEB Amounts_Report'!$J$323,0)</f>
        <v>683511</v>
      </c>
      <c r="K17" s="89">
        <f>ROUND(VLOOKUP(A17,'Contribution Allocation_Report'!$A$9:$D$310,4,FALSE)*'OPEB Amounts_Report'!$K$323,0)</f>
        <v>8620991</v>
      </c>
      <c r="L17" s="297">
        <f>INDEX('Change in Proportion Layers'!$AA$8:$AA$321,MATCH('OPEB Amounts_Report'!A17,'Change in Proportion Layers'!$A$8:$A$321,0))</f>
        <v>2271284</v>
      </c>
      <c r="M17" s="89">
        <f t="shared" si="0"/>
        <v>15378646</v>
      </c>
      <c r="N17" s="90"/>
      <c r="O17" s="90">
        <f>ROUND(VLOOKUP(A17,'Contribution Allocation_Report'!$A$9:$D$310,4,FALSE)*'OPEB Amounts_Report'!$O$323,0)</f>
        <v>-2567960</v>
      </c>
      <c r="P17" s="90">
        <f>INDEX('Change in Proportion Layers'!$X$8:$X$321,MATCH('OPEB Amounts_Report'!A17,'Change in Proportion Layers'!$A$8:$A$321,0))</f>
        <v>-624128</v>
      </c>
      <c r="Q17" s="90">
        <f t="shared" si="2"/>
        <v>-3192088</v>
      </c>
    </row>
    <row r="18" spans="1:17" ht="12" customHeight="1">
      <c r="A18" s="62">
        <v>2435</v>
      </c>
      <c r="B18" s="66" t="s">
        <v>409</v>
      </c>
      <c r="C18" s="70">
        <f>ROUND(VLOOKUP(A18,'Contribution Allocation_Report'!$A$9:$D$310,4,FALSE)*'OPEB Amounts_Report'!$C$323,0)</f>
        <v>468875</v>
      </c>
      <c r="D18" s="70">
        <f>ROUND(VLOOKUP(A18,'Contribution Allocation_Report'!$A$9:$D$310,4,FALSE)*'OPEB Amounts_Report'!$D$323,0)</f>
        <v>6856</v>
      </c>
      <c r="E18" s="70">
        <f>ROUND(VLOOKUP(A18,'Contribution Allocation_Report'!$A$9:$D$310,4,FALSE)*'OPEB Amounts_Report'!$E$323,0)</f>
        <v>93873</v>
      </c>
      <c r="F18" s="296">
        <f>INDEX('Change in Proportion Layers'!$Z$8:$Z$321,MATCH('OPEB Amounts_Report'!A18,'Change in Proportion Layers'!$A$8:$A$321,0))</f>
        <v>455708</v>
      </c>
      <c r="G18" s="70">
        <f t="shared" si="1"/>
        <v>556437</v>
      </c>
      <c r="H18" s="70"/>
      <c r="I18" s="70">
        <f>ROUND(VLOOKUP(A18,'Contribution Allocation_Report'!$A$9:$D$310,4,FALSE)*'OPEB Amounts_Report'!$I$323,0)</f>
        <v>74776</v>
      </c>
      <c r="J18" s="70">
        <f>ROUND(VLOOKUP(A18,'Contribution Allocation_Report'!$A$9:$D$310,4,FALSE)*'OPEB Amounts_Report'!$J$323,0)</f>
        <v>13440</v>
      </c>
      <c r="K18" s="70">
        <f>ROUND(VLOOKUP(A18,'Contribution Allocation_Report'!$A$9:$D$310,4,FALSE)*'OPEB Amounts_Report'!$K$323,0)</f>
        <v>169515</v>
      </c>
      <c r="L18" s="70">
        <f>INDEX('Change in Proportion Layers'!$AA$8:$AA$321,MATCH('OPEB Amounts_Report'!A18,'Change in Proportion Layers'!$A$8:$A$321,0))</f>
        <v>0</v>
      </c>
      <c r="M18" s="70">
        <f t="shared" si="0"/>
        <v>257731</v>
      </c>
      <c r="N18" s="71"/>
      <c r="O18" s="71">
        <f>ROUND(VLOOKUP(A18,'Contribution Allocation_Report'!$A$9:$D$310,4,FALSE)*'OPEB Amounts_Report'!$O$323,0)</f>
        <v>-50494</v>
      </c>
      <c r="P18" s="71">
        <f>INDEX('Change in Proportion Layers'!$X$8:$X$321,MATCH('OPEB Amounts_Report'!A18,'Change in Proportion Layers'!$A$8:$A$321,0))</f>
        <v>127885</v>
      </c>
      <c r="Q18" s="71">
        <f t="shared" si="2"/>
        <v>77391</v>
      </c>
    </row>
    <row r="19" spans="1:17" ht="12" customHeight="1">
      <c r="A19" s="254">
        <v>4560</v>
      </c>
      <c r="B19" s="255" t="s">
        <v>12</v>
      </c>
      <c r="C19" s="89">
        <f>ROUND(VLOOKUP(A19,'Contribution Allocation_Report'!$A$9:$D$310,4,FALSE)*'OPEB Amounts_Report'!$C$323,0)</f>
        <v>2075553</v>
      </c>
      <c r="D19" s="89">
        <f>ROUND(VLOOKUP(A19,'Contribution Allocation_Report'!$A$9:$D$310,4,FALSE)*'OPEB Amounts_Report'!$D$323,0)</f>
        <v>30347</v>
      </c>
      <c r="E19" s="89">
        <f>ROUND(VLOOKUP(A19,'Contribution Allocation_Report'!$A$9:$D$310,4,FALSE)*'OPEB Amounts_Report'!$E$323,0)</f>
        <v>415545</v>
      </c>
      <c r="F19" s="89">
        <f>INDEX('Change in Proportion Layers'!$Z$8:$Z$321,MATCH('OPEB Amounts_Report'!A19,'Change in Proportion Layers'!$A$8:$A$321,0))</f>
        <v>209327</v>
      </c>
      <c r="G19" s="89">
        <f t="shared" si="1"/>
        <v>655219</v>
      </c>
      <c r="H19" s="89"/>
      <c r="I19" s="89">
        <f>ROUND(VLOOKUP(A19,'Contribution Allocation_Report'!$A$9:$D$310,4,FALSE)*'OPEB Amounts_Report'!$I$323,0)</f>
        <v>331007</v>
      </c>
      <c r="J19" s="89">
        <f>ROUND(VLOOKUP(A19,'Contribution Allocation_Report'!$A$9:$D$310,4,FALSE)*'OPEB Amounts_Report'!$J$323,0)</f>
        <v>59494</v>
      </c>
      <c r="K19" s="89">
        <f>ROUND(VLOOKUP(A19,'Contribution Allocation_Report'!$A$9:$D$310,4,FALSE)*'OPEB Amounts_Report'!$K$323,0)</f>
        <v>750386</v>
      </c>
      <c r="L19" s="89">
        <f>INDEX('Change in Proportion Layers'!$AA$8:$AA$321,MATCH('OPEB Amounts_Report'!A19,'Change in Proportion Layers'!$A$8:$A$321,0))</f>
        <v>243426</v>
      </c>
      <c r="M19" s="89">
        <f t="shared" si="0"/>
        <v>1384313</v>
      </c>
      <c r="N19" s="90"/>
      <c r="O19" s="90">
        <f>ROUND(VLOOKUP(A19,'Contribution Allocation_Report'!$A$9:$D$310,4,FALSE)*'OPEB Amounts_Report'!$O$323,0)</f>
        <v>-223520</v>
      </c>
      <c r="P19" s="90">
        <f>INDEX('Change in Proportion Layers'!$X$8:$X$321,MATCH('OPEB Amounts_Report'!A19,'Change in Proportion Layers'!$A$8:$A$321,0))</f>
        <v>-59284</v>
      </c>
      <c r="Q19" s="90">
        <f t="shared" si="2"/>
        <v>-282804</v>
      </c>
    </row>
    <row r="20" spans="1:17" ht="12" customHeight="1">
      <c r="A20" s="62">
        <v>2341</v>
      </c>
      <c r="B20" s="66" t="s">
        <v>440</v>
      </c>
      <c r="C20" s="70">
        <f>ROUND(VLOOKUP(A20,'Contribution Allocation_Report'!$A$9:$D$310,4,FALSE)*'OPEB Amounts_Report'!$C$323,0)</f>
        <v>1218746</v>
      </c>
      <c r="D20" s="70">
        <f>ROUND(VLOOKUP(A20,'Contribution Allocation_Report'!$A$9:$D$310,4,FALSE)*'OPEB Amounts_Report'!$D$323,0)</f>
        <v>17820</v>
      </c>
      <c r="E20" s="70">
        <f>ROUND(VLOOKUP(A20,'Contribution Allocation_Report'!$A$9:$D$310,4,FALSE)*'OPEB Amounts_Report'!$E$323,0)</f>
        <v>244004</v>
      </c>
      <c r="F20" s="70">
        <f>INDEX('Change in Proportion Layers'!$Z$8:$Z$321,MATCH('OPEB Amounts_Report'!A20,'Change in Proportion Layers'!$A$8:$A$321,0))</f>
        <v>27150</v>
      </c>
      <c r="G20" s="70">
        <f t="shared" si="1"/>
        <v>288974</v>
      </c>
      <c r="H20" s="70"/>
      <c r="I20" s="70">
        <f>ROUND(VLOOKUP(A20,'Contribution Allocation_Report'!$A$9:$D$310,4,FALSE)*'OPEB Amounts_Report'!$I$323,0)</f>
        <v>194365</v>
      </c>
      <c r="J20" s="70">
        <f>ROUND(VLOOKUP(A20,'Contribution Allocation_Report'!$A$9:$D$310,4,FALSE)*'OPEB Amounts_Report'!$J$323,0)</f>
        <v>34934</v>
      </c>
      <c r="K20" s="70">
        <f>ROUND(VLOOKUP(A20,'Contribution Allocation_Report'!$A$9:$D$310,4,FALSE)*'OPEB Amounts_Report'!$K$323,0)</f>
        <v>440620</v>
      </c>
      <c r="L20" s="70">
        <f>INDEX('Change in Proportion Layers'!$AA$8:$AA$321,MATCH('OPEB Amounts_Report'!A20,'Change in Proportion Layers'!$A$8:$A$321,0))</f>
        <v>159542</v>
      </c>
      <c r="M20" s="70">
        <f t="shared" si="0"/>
        <v>829461</v>
      </c>
      <c r="N20" s="71"/>
      <c r="O20" s="71">
        <f>ROUND(VLOOKUP(A20,'Contribution Allocation_Report'!$A$9:$D$310,4,FALSE)*'OPEB Amounts_Report'!$O$323,0)</f>
        <v>-131249</v>
      </c>
      <c r="P20" s="71">
        <f>INDEX('Change in Proportion Layers'!$X$8:$X$321,MATCH('OPEB Amounts_Report'!A20,'Change in Proportion Layers'!$A$8:$A$321,0))</f>
        <v>-42870</v>
      </c>
      <c r="Q20" s="71">
        <f t="shared" si="2"/>
        <v>-174119</v>
      </c>
    </row>
    <row r="21" spans="1:17" ht="12" customHeight="1">
      <c r="A21" s="254">
        <v>4580</v>
      </c>
      <c r="B21" s="255" t="s">
        <v>410</v>
      </c>
      <c r="C21" s="89">
        <f>ROUND(VLOOKUP(A21,'Contribution Allocation_Report'!$A$9:$D$310,4,FALSE)*'OPEB Amounts_Report'!$C$323,0)</f>
        <v>1021983</v>
      </c>
      <c r="D21" s="89">
        <f>ROUND(VLOOKUP(A21,'Contribution Allocation_Report'!$A$9:$D$310,4,FALSE)*'OPEB Amounts_Report'!$D$323,0)</f>
        <v>14943</v>
      </c>
      <c r="E21" s="89">
        <f>ROUND(VLOOKUP(A21,'Contribution Allocation_Report'!$A$9:$D$310,4,FALSE)*'OPEB Amounts_Report'!$E$323,0)</f>
        <v>204610</v>
      </c>
      <c r="F21" s="89">
        <f>INDEX('Change in Proportion Layers'!$Z$8:$Z$321,MATCH('OPEB Amounts_Report'!A21,'Change in Proportion Layers'!$A$8:$A$321,0))</f>
        <v>859063</v>
      </c>
      <c r="G21" s="89">
        <f t="shared" si="1"/>
        <v>1078616</v>
      </c>
      <c r="H21" s="89"/>
      <c r="I21" s="89">
        <f>ROUND(VLOOKUP(A21,'Contribution Allocation_Report'!$A$9:$D$310,4,FALSE)*'OPEB Amounts_Report'!$I$323,0)</f>
        <v>162985</v>
      </c>
      <c r="J21" s="89">
        <f>ROUND(VLOOKUP(A21,'Contribution Allocation_Report'!$A$9:$D$310,4,FALSE)*'OPEB Amounts_Report'!$J$323,0)</f>
        <v>29294</v>
      </c>
      <c r="K21" s="89">
        <f>ROUND(VLOOKUP(A21,'Contribution Allocation_Report'!$A$9:$D$310,4,FALSE)*'OPEB Amounts_Report'!$K$323,0)</f>
        <v>369483</v>
      </c>
      <c r="L21" s="89">
        <f>INDEX('Change in Proportion Layers'!$AA$8:$AA$321,MATCH('OPEB Amounts_Report'!A21,'Change in Proportion Layers'!$A$8:$A$321,0))</f>
        <v>87280</v>
      </c>
      <c r="M21" s="89">
        <f t="shared" si="0"/>
        <v>649042</v>
      </c>
      <c r="N21" s="90"/>
      <c r="O21" s="90">
        <f>ROUND(VLOOKUP(A21,'Contribution Allocation_Report'!$A$9:$D$310,4,FALSE)*'OPEB Amounts_Report'!$O$323,0)</f>
        <v>-110059</v>
      </c>
      <c r="P21" s="90">
        <f>INDEX('Change in Proportion Layers'!$X$8:$X$321,MATCH('OPEB Amounts_Report'!A21,'Change in Proportion Layers'!$A$8:$A$321,0))</f>
        <v>304307</v>
      </c>
      <c r="Q21" s="90">
        <f t="shared" si="2"/>
        <v>194248</v>
      </c>
    </row>
    <row r="22" spans="1:17" ht="12" customHeight="1">
      <c r="A22" s="62">
        <v>2003</v>
      </c>
      <c r="B22" s="66" t="s">
        <v>13</v>
      </c>
      <c r="C22" s="70">
        <f>ROUND(VLOOKUP(A22,'Contribution Allocation_Report'!$A$9:$D$310,4,FALSE)*'OPEB Amounts_Report'!$C$323,0)</f>
        <v>372367570</v>
      </c>
      <c r="D22" s="70">
        <f>ROUND(VLOOKUP(A22,'Contribution Allocation_Report'!$A$9:$D$310,4,FALSE)*'OPEB Amounts_Report'!$D$323,0)</f>
        <v>5444505</v>
      </c>
      <c r="E22" s="70">
        <f>ROUND(VLOOKUP(A22,'Contribution Allocation_Report'!$A$9:$D$310,4,FALSE)*'OPEB Amounts_Report'!$E$323,0)</f>
        <v>74551435</v>
      </c>
      <c r="F22" s="70">
        <f>INDEX('Change in Proportion Layers'!$Z$8:$Z$321,MATCH('OPEB Amounts_Report'!A22,'Change in Proportion Layers'!$A$8:$A$321,0))</f>
        <v>16038291</v>
      </c>
      <c r="G22" s="70">
        <f t="shared" si="1"/>
        <v>96034231</v>
      </c>
      <c r="H22" s="70"/>
      <c r="I22" s="70">
        <f>ROUND(VLOOKUP(A22,'Contribution Allocation_Report'!$A$9:$D$310,4,FALSE)*'OPEB Amounts_Report'!$I$323,0)</f>
        <v>59384883</v>
      </c>
      <c r="J22" s="70">
        <f>ROUND(VLOOKUP(A22,'Contribution Allocation_Report'!$A$9:$D$310,4,FALSE)*'OPEB Amounts_Report'!$J$323,0)</f>
        <v>10673602</v>
      </c>
      <c r="K22" s="70">
        <f>ROUND(VLOOKUP(A22,'Contribution Allocation_Report'!$A$9:$D$310,4,FALSE)*'OPEB Amounts_Report'!$K$323,0)</f>
        <v>134624077</v>
      </c>
      <c r="L22" s="296">
        <f>INDEX('Change in Proportion Layers'!$AA$8:$AA$321,MATCH('OPEB Amounts_Report'!A22,'Change in Proportion Layers'!$A$8:$A$321,0))</f>
        <v>13042540</v>
      </c>
      <c r="M22" s="70">
        <f t="shared" si="0"/>
        <v>217725102</v>
      </c>
      <c r="N22" s="71"/>
      <c r="O22" s="71">
        <f>ROUND(VLOOKUP(A22,'Contribution Allocation_Report'!$A$9:$D$310,4,FALSE)*'OPEB Amounts_Report'!$O$323,0)</f>
        <v>-40100871</v>
      </c>
      <c r="P22" s="71">
        <f>INDEX('Change in Proportion Layers'!$X$8:$X$321,MATCH('OPEB Amounts_Report'!A22,'Change in Proportion Layers'!$A$8:$A$321,0))</f>
        <v>606974</v>
      </c>
      <c r="Q22" s="71">
        <f t="shared" si="2"/>
        <v>-39493897</v>
      </c>
    </row>
    <row r="23" spans="1:17" ht="12" customHeight="1">
      <c r="A23" s="254">
        <v>2412</v>
      </c>
      <c r="B23" s="255" t="s">
        <v>14</v>
      </c>
      <c r="C23" s="89">
        <f>ROUND(VLOOKUP(A23,'Contribution Allocation_Report'!$A$9:$D$310,4,FALSE)*'OPEB Amounts_Report'!$C$323,0)</f>
        <v>2943876</v>
      </c>
      <c r="D23" s="89">
        <f>ROUND(VLOOKUP(A23,'Contribution Allocation_Report'!$A$9:$D$310,4,FALSE)*'OPEB Amounts_Report'!$D$323,0)</f>
        <v>43043</v>
      </c>
      <c r="E23" s="89">
        <f>ROUND(VLOOKUP(A23,'Contribution Allocation_Report'!$A$9:$D$310,4,FALSE)*'OPEB Amounts_Report'!$E$323,0)</f>
        <v>589391</v>
      </c>
      <c r="F23" s="89">
        <f>INDEX('Change in Proportion Layers'!$Z$8:$Z$321,MATCH('OPEB Amounts_Report'!A23,'Change in Proportion Layers'!$A$8:$A$321,0))</f>
        <v>1775103</v>
      </c>
      <c r="G23" s="89">
        <f t="shared" si="1"/>
        <v>2407537</v>
      </c>
      <c r="H23" s="89"/>
      <c r="I23" s="89">
        <f>ROUND(VLOOKUP(A23,'Contribution Allocation_Report'!$A$9:$D$310,4,FALSE)*'OPEB Amounts_Report'!$I$323,0)</f>
        <v>469487</v>
      </c>
      <c r="J23" s="89">
        <f>ROUND(VLOOKUP(A23,'Contribution Allocation_Report'!$A$9:$D$310,4,FALSE)*'OPEB Amounts_Report'!$J$323,0)</f>
        <v>84384</v>
      </c>
      <c r="K23" s="89">
        <f>ROUND(VLOOKUP(A23,'Contribution Allocation_Report'!$A$9:$D$310,4,FALSE)*'OPEB Amounts_Report'!$K$323,0)</f>
        <v>1064316</v>
      </c>
      <c r="L23" s="89">
        <f>INDEX('Change in Proportion Layers'!$AA$8:$AA$321,MATCH('OPEB Amounts_Report'!A23,'Change in Proportion Layers'!$A$8:$A$321,0))</f>
        <v>0</v>
      </c>
      <c r="M23" s="89">
        <f t="shared" si="0"/>
        <v>1618187</v>
      </c>
      <c r="N23" s="90"/>
      <c r="O23" s="90">
        <f>ROUND(VLOOKUP(A23,'Contribution Allocation_Report'!$A$9:$D$310,4,FALSE)*'OPEB Amounts_Report'!$O$323,0)</f>
        <v>-317031</v>
      </c>
      <c r="P23" s="90">
        <f>INDEX('Change in Proportion Layers'!$X$8:$X$321,MATCH('OPEB Amounts_Report'!A23,'Change in Proportion Layers'!$A$8:$A$321,0))</f>
        <v>444332</v>
      </c>
      <c r="Q23" s="90">
        <f t="shared" si="2"/>
        <v>127301</v>
      </c>
    </row>
    <row r="24" spans="1:17" ht="12" customHeight="1">
      <c r="A24" s="62">
        <v>2402</v>
      </c>
      <c r="B24" s="66" t="s">
        <v>15</v>
      </c>
      <c r="C24" s="70">
        <f>ROUND(VLOOKUP(A24,'Contribution Allocation_Report'!$A$9:$D$310,4,FALSE)*'OPEB Amounts_Report'!$C$323,0)</f>
        <v>1053241</v>
      </c>
      <c r="D24" s="70">
        <f>ROUND(VLOOKUP(A24,'Contribution Allocation_Report'!$A$9:$D$310,4,FALSE)*'OPEB Amounts_Report'!$D$323,0)</f>
        <v>15400</v>
      </c>
      <c r="E24" s="70">
        <f>ROUND(VLOOKUP(A24,'Contribution Allocation_Report'!$A$9:$D$310,4,FALSE)*'OPEB Amounts_Report'!$E$323,0)</f>
        <v>210869</v>
      </c>
      <c r="F24" s="70">
        <f>INDEX('Change in Proportion Layers'!$Z$8:$Z$321,MATCH('OPEB Amounts_Report'!A24,'Change in Proportion Layers'!$A$8:$A$321,0))</f>
        <v>202990</v>
      </c>
      <c r="G24" s="70">
        <f t="shared" si="1"/>
        <v>429259</v>
      </c>
      <c r="H24" s="70"/>
      <c r="I24" s="70">
        <f>ROUND(VLOOKUP(A24,'Contribution Allocation_Report'!$A$9:$D$310,4,FALSE)*'OPEB Amounts_Report'!$I$323,0)</f>
        <v>167970</v>
      </c>
      <c r="J24" s="70">
        <f>ROUND(VLOOKUP(A24,'Contribution Allocation_Report'!$A$9:$D$310,4,FALSE)*'OPEB Amounts_Report'!$J$323,0)</f>
        <v>30190</v>
      </c>
      <c r="K24" s="70">
        <f>ROUND(VLOOKUP(A24,'Contribution Allocation_Report'!$A$9:$D$310,4,FALSE)*'OPEB Amounts_Report'!$K$323,0)</f>
        <v>380784</v>
      </c>
      <c r="L24" s="70">
        <f>INDEX('Change in Proportion Layers'!$AA$8:$AA$321,MATCH('OPEB Amounts_Report'!A24,'Change in Proportion Layers'!$A$8:$A$321,0))</f>
        <v>192384</v>
      </c>
      <c r="M24" s="70">
        <f t="shared" si="0"/>
        <v>771328</v>
      </c>
      <c r="N24" s="71"/>
      <c r="O24" s="71">
        <f>ROUND(VLOOKUP(A24,'Contribution Allocation_Report'!$A$9:$D$310,4,FALSE)*'OPEB Amounts_Report'!$O$323,0)</f>
        <v>-113425</v>
      </c>
      <c r="P24" s="71">
        <f>INDEX('Change in Proportion Layers'!$X$8:$X$321,MATCH('OPEB Amounts_Report'!A24,'Change in Proportion Layers'!$A$8:$A$321,0))</f>
        <v>-41297</v>
      </c>
      <c r="Q24" s="71">
        <f t="shared" si="2"/>
        <v>-154722</v>
      </c>
    </row>
    <row r="25" spans="1:17" ht="12" customHeight="1">
      <c r="A25" s="254">
        <v>2361</v>
      </c>
      <c r="B25" s="255" t="s">
        <v>16</v>
      </c>
      <c r="C25" s="89">
        <f>ROUND(VLOOKUP(A25,'Contribution Allocation_Report'!$A$9:$D$310,4,FALSE)*'OPEB Amounts_Report'!$C$323,0)</f>
        <v>677154</v>
      </c>
      <c r="D25" s="89">
        <f>ROUND(VLOOKUP(A25,'Contribution Allocation_Report'!$A$9:$D$310,4,FALSE)*'OPEB Amounts_Report'!$D$323,0)</f>
        <v>9901</v>
      </c>
      <c r="E25" s="89">
        <f>ROUND(VLOOKUP(A25,'Contribution Allocation_Report'!$A$9:$D$310,4,FALSE)*'OPEB Amounts_Report'!$E$323,0)</f>
        <v>135572</v>
      </c>
      <c r="F25" s="89">
        <f>INDEX('Change in Proportion Layers'!$Z$8:$Z$321,MATCH('OPEB Amounts_Report'!A25,'Change in Proportion Layers'!$A$8:$A$321,0))</f>
        <v>39956</v>
      </c>
      <c r="G25" s="89">
        <f t="shared" si="1"/>
        <v>185429</v>
      </c>
      <c r="H25" s="89"/>
      <c r="I25" s="89">
        <f>ROUND(VLOOKUP(A25,'Contribution Allocation_Report'!$A$9:$D$310,4,FALSE)*'OPEB Amounts_Report'!$I$323,0)</f>
        <v>107992</v>
      </c>
      <c r="J25" s="89">
        <f>ROUND(VLOOKUP(A25,'Contribution Allocation_Report'!$A$9:$D$310,4,FALSE)*'OPEB Amounts_Report'!$J$323,0)</f>
        <v>19410</v>
      </c>
      <c r="K25" s="89">
        <f>ROUND(VLOOKUP(A25,'Contribution Allocation_Report'!$A$9:$D$310,4,FALSE)*'OPEB Amounts_Report'!$K$323,0)</f>
        <v>244815</v>
      </c>
      <c r="L25" s="89">
        <f>INDEX('Change in Proportion Layers'!$AA$8:$AA$321,MATCH('OPEB Amounts_Report'!A25,'Change in Proportion Layers'!$A$8:$A$321,0))</f>
        <v>129308</v>
      </c>
      <c r="M25" s="89">
        <f t="shared" si="0"/>
        <v>501525</v>
      </c>
      <c r="N25" s="90"/>
      <c r="O25" s="90">
        <f>ROUND(VLOOKUP(A25,'Contribution Allocation_Report'!$A$9:$D$310,4,FALSE)*'OPEB Amounts_Report'!$O$323,0)</f>
        <v>-72924</v>
      </c>
      <c r="P25" s="90">
        <f>INDEX('Change in Proportion Layers'!$X$8:$X$321,MATCH('OPEB Amounts_Report'!A25,'Change in Proportion Layers'!$A$8:$A$321,0))</f>
        <v>-15769</v>
      </c>
      <c r="Q25" s="90">
        <f t="shared" si="2"/>
        <v>-88693</v>
      </c>
    </row>
    <row r="26" spans="1:17" ht="12" customHeight="1">
      <c r="A26" s="62">
        <v>8347</v>
      </c>
      <c r="B26" s="66" t="s">
        <v>17</v>
      </c>
      <c r="C26" s="70">
        <f>ROUND(VLOOKUP(A26,'Contribution Allocation_Report'!$A$9:$D$310,4,FALSE)*'OPEB Amounts_Report'!$C$323,0)</f>
        <v>985789</v>
      </c>
      <c r="D26" s="70">
        <f>ROUND(VLOOKUP(A26,'Contribution Allocation_Report'!$A$9:$D$310,4,FALSE)*'OPEB Amounts_Report'!$D$323,0)</f>
        <v>14414</v>
      </c>
      <c r="E26" s="70">
        <f>ROUND(VLOOKUP(A26,'Contribution Allocation_Report'!$A$9:$D$310,4,FALSE)*'OPEB Amounts_Report'!$E$323,0)</f>
        <v>197364</v>
      </c>
      <c r="F26" s="70">
        <f>INDEX('Change in Proportion Layers'!$Z$8:$Z$321,MATCH('OPEB Amounts_Report'!A26,'Change in Proportion Layers'!$A$8:$A$321,0))</f>
        <v>92217</v>
      </c>
      <c r="G26" s="70">
        <f t="shared" si="1"/>
        <v>303995</v>
      </c>
      <c r="H26" s="70"/>
      <c r="I26" s="70">
        <f>ROUND(VLOOKUP(A26,'Contribution Allocation_Report'!$A$9:$D$310,4,FALSE)*'OPEB Amounts_Report'!$I$323,0)</f>
        <v>157213</v>
      </c>
      <c r="J26" s="70">
        <f>ROUND(VLOOKUP(A26,'Contribution Allocation_Report'!$A$9:$D$310,4,FALSE)*'OPEB Amounts_Report'!$J$323,0)</f>
        <v>28257</v>
      </c>
      <c r="K26" s="70">
        <f>ROUND(VLOOKUP(A26,'Contribution Allocation_Report'!$A$9:$D$310,4,FALSE)*'OPEB Amounts_Report'!$K$323,0)</f>
        <v>356398</v>
      </c>
      <c r="L26" s="296">
        <f>INDEX('Change in Proportion Layers'!$AA$8:$AA$321,MATCH('OPEB Amounts_Report'!A26,'Change in Proportion Layers'!$A$8:$A$321,0))</f>
        <v>95351</v>
      </c>
      <c r="M26" s="70">
        <f t="shared" si="0"/>
        <v>637219</v>
      </c>
      <c r="N26" s="71"/>
      <c r="O26" s="71">
        <f>ROUND(VLOOKUP(A26,'Contribution Allocation_Report'!$A$9:$D$310,4,FALSE)*'OPEB Amounts_Report'!$O$323,0)</f>
        <v>-106161</v>
      </c>
      <c r="P26" s="71">
        <f>INDEX('Change in Proportion Layers'!$X$8:$X$321,MATCH('OPEB Amounts_Report'!A26,'Change in Proportion Layers'!$A$8:$A$321,0))</f>
        <v>3602</v>
      </c>
      <c r="Q26" s="71">
        <f t="shared" si="2"/>
        <v>-102559</v>
      </c>
    </row>
    <row r="27" spans="1:17" ht="12" customHeight="1">
      <c r="A27" s="254">
        <v>2356</v>
      </c>
      <c r="B27" s="255" t="s">
        <v>18</v>
      </c>
      <c r="C27" s="89">
        <f>ROUND(VLOOKUP(A27,'Contribution Allocation_Report'!$A$9:$D$310,4,FALSE)*'OPEB Amounts_Report'!$C$323,0)</f>
        <v>1875499</v>
      </c>
      <c r="D27" s="89">
        <f>ROUND(VLOOKUP(A27,'Contribution Allocation_Report'!$A$9:$D$310,4,FALSE)*'OPEB Amounts_Report'!$D$323,0)</f>
        <v>27422</v>
      </c>
      <c r="E27" s="89">
        <f>ROUND(VLOOKUP(A27,'Contribution Allocation_Report'!$A$9:$D$310,4,FALSE)*'OPEB Amounts_Report'!$E$323,0)</f>
        <v>375492</v>
      </c>
      <c r="F27" s="89">
        <f>INDEX('Change in Proportion Layers'!$Z$8:$Z$321,MATCH('OPEB Amounts_Report'!A27,'Change in Proportion Layers'!$A$8:$A$321,0))</f>
        <v>278589</v>
      </c>
      <c r="G27" s="89">
        <f t="shared" si="1"/>
        <v>681503</v>
      </c>
      <c r="H27" s="89"/>
      <c r="I27" s="89">
        <f>ROUND(VLOOKUP(A27,'Contribution Allocation_Report'!$A$9:$D$310,4,FALSE)*'OPEB Amounts_Report'!$I$323,0)</f>
        <v>299103</v>
      </c>
      <c r="J27" s="89">
        <f>ROUND(VLOOKUP(A27,'Contribution Allocation_Report'!$A$9:$D$310,4,FALSE)*'OPEB Amounts_Report'!$J$323,0)</f>
        <v>53760</v>
      </c>
      <c r="K27" s="89">
        <f>ROUND(VLOOKUP(A27,'Contribution Allocation_Report'!$A$9:$D$310,4,FALSE)*'OPEB Amounts_Report'!$K$323,0)</f>
        <v>678060</v>
      </c>
      <c r="L27" s="89">
        <f>INDEX('Change in Proportion Layers'!$AA$8:$AA$321,MATCH('OPEB Amounts_Report'!A27,'Change in Proportion Layers'!$A$8:$A$321,0))</f>
        <v>0</v>
      </c>
      <c r="M27" s="89">
        <f t="shared" si="0"/>
        <v>1030923</v>
      </c>
      <c r="N27" s="90"/>
      <c r="O27" s="90">
        <f>ROUND(VLOOKUP(A27,'Contribution Allocation_Report'!$A$9:$D$310,4,FALSE)*'OPEB Amounts_Report'!$O$323,0)</f>
        <v>-201976</v>
      </c>
      <c r="P27" s="90">
        <f>INDEX('Change in Proportion Layers'!$X$8:$X$321,MATCH('OPEB Amounts_Report'!A27,'Change in Proportion Layers'!$A$8:$A$321,0))</f>
        <v>98957</v>
      </c>
      <c r="Q27" s="90">
        <f t="shared" si="2"/>
        <v>-103019</v>
      </c>
    </row>
    <row r="28" spans="1:17" ht="12" customHeight="1">
      <c r="A28" s="62">
        <v>7335</v>
      </c>
      <c r="B28" s="66" t="s">
        <v>19</v>
      </c>
      <c r="C28" s="70">
        <f>ROUND(VLOOKUP(A28,'Contribution Allocation_Report'!$A$9:$D$310,4,FALSE)*'OPEB Amounts_Report'!$C$323,0)</f>
        <v>708083</v>
      </c>
      <c r="D28" s="70">
        <f>ROUND(VLOOKUP(A28,'Contribution Allocation_Report'!$A$9:$D$310,4,FALSE)*'OPEB Amounts_Report'!$D$323,0)</f>
        <v>10353</v>
      </c>
      <c r="E28" s="70">
        <f>ROUND(VLOOKUP(A28,'Contribution Allocation_Report'!$A$9:$D$310,4,FALSE)*'OPEB Amounts_Report'!$E$323,0)</f>
        <v>141765</v>
      </c>
      <c r="F28" s="70">
        <f>INDEX('Change in Proportion Layers'!$Z$8:$Z$321,MATCH('OPEB Amounts_Report'!A28,'Change in Proportion Layers'!$A$8:$A$321,0))</f>
        <v>31453</v>
      </c>
      <c r="G28" s="70">
        <f t="shared" si="1"/>
        <v>183571</v>
      </c>
      <c r="H28" s="70"/>
      <c r="I28" s="70">
        <f>ROUND(VLOOKUP(A28,'Contribution Allocation_Report'!$A$9:$D$310,4,FALSE)*'OPEB Amounts_Report'!$I$323,0)</f>
        <v>112925</v>
      </c>
      <c r="J28" s="70">
        <f>ROUND(VLOOKUP(A28,'Contribution Allocation_Report'!$A$9:$D$310,4,FALSE)*'OPEB Amounts_Report'!$J$323,0)</f>
        <v>20297</v>
      </c>
      <c r="K28" s="70">
        <f>ROUND(VLOOKUP(A28,'Contribution Allocation_Report'!$A$9:$D$310,4,FALSE)*'OPEB Amounts_Report'!$K$323,0)</f>
        <v>255997</v>
      </c>
      <c r="L28" s="296">
        <f>INDEX('Change in Proportion Layers'!$AA$8:$AA$321,MATCH('OPEB Amounts_Report'!A28,'Change in Proportion Layers'!$A$8:$A$321,0))</f>
        <v>92480</v>
      </c>
      <c r="M28" s="70">
        <f t="shared" si="0"/>
        <v>481699</v>
      </c>
      <c r="N28" s="71"/>
      <c r="O28" s="71">
        <f>ROUND(VLOOKUP(A28,'Contribution Allocation_Report'!$A$9:$D$310,4,FALSE)*'OPEB Amounts_Report'!$O$323,0)</f>
        <v>-76255</v>
      </c>
      <c r="P28" s="71">
        <f>INDEX('Change in Proportion Layers'!$X$8:$X$321,MATCH('OPEB Amounts_Report'!A28,'Change in Proportion Layers'!$A$8:$A$321,0))</f>
        <v>-4827</v>
      </c>
      <c r="Q28" s="71">
        <f t="shared" si="2"/>
        <v>-81082</v>
      </c>
    </row>
    <row r="29" spans="1:17" ht="12" customHeight="1">
      <c r="A29" s="254">
        <v>575</v>
      </c>
      <c r="B29" s="255" t="s">
        <v>411</v>
      </c>
      <c r="C29" s="89">
        <f>ROUND(VLOOKUP(A29,'Contribution Allocation_Report'!$A$9:$D$310,4,FALSE)*'OPEB Amounts_Report'!$C$323,0)</f>
        <v>579102</v>
      </c>
      <c r="D29" s="89">
        <f>ROUND(VLOOKUP(A29,'Contribution Allocation_Report'!$A$9:$D$310,4,FALSE)*'OPEB Amounts_Report'!$D$323,0)</f>
        <v>8467</v>
      </c>
      <c r="E29" s="89">
        <f>ROUND(VLOOKUP(A29,'Contribution Allocation_Report'!$A$9:$D$310,4,FALSE)*'OPEB Amounts_Report'!$E$323,0)</f>
        <v>115941</v>
      </c>
      <c r="F29" s="297">
        <f>INDEX('Change in Proportion Layers'!$Z$8:$Z$321,MATCH('OPEB Amounts_Report'!A29,'Change in Proportion Layers'!$A$8:$A$321,0))</f>
        <v>555613</v>
      </c>
      <c r="G29" s="89">
        <f t="shared" si="1"/>
        <v>680021</v>
      </c>
      <c r="H29" s="89"/>
      <c r="I29" s="89">
        <f>ROUND(VLOOKUP(A29,'Contribution Allocation_Report'!$A$9:$D$310,4,FALSE)*'OPEB Amounts_Report'!$I$323,0)</f>
        <v>92355</v>
      </c>
      <c r="J29" s="89">
        <f>ROUND(VLOOKUP(A29,'Contribution Allocation_Report'!$A$9:$D$310,4,FALSE)*'OPEB Amounts_Report'!$J$323,0)</f>
        <v>16599</v>
      </c>
      <c r="K29" s="89">
        <f>ROUND(VLOOKUP(A29,'Contribution Allocation_Report'!$A$9:$D$310,4,FALSE)*'OPEB Amounts_Report'!$K$323,0)</f>
        <v>209366</v>
      </c>
      <c r="L29" s="89">
        <f>INDEX('Change in Proportion Layers'!$AA$8:$AA$321,MATCH('OPEB Amounts_Report'!A29,'Change in Proportion Layers'!$A$8:$A$321,0))</f>
        <v>0</v>
      </c>
      <c r="M29" s="89">
        <f t="shared" si="0"/>
        <v>318320</v>
      </c>
      <c r="N29" s="90"/>
      <c r="O29" s="90">
        <f>ROUND(VLOOKUP(A29,'Contribution Allocation_Report'!$A$9:$D$310,4,FALSE)*'OPEB Amounts_Report'!$O$323,0)</f>
        <v>-62364</v>
      </c>
      <c r="P29" s="90">
        <f>INDEX('Change in Proportion Layers'!$X$8:$X$321,MATCH('OPEB Amounts_Report'!A29,'Change in Proportion Layers'!$A$8:$A$321,0))</f>
        <v>158912</v>
      </c>
      <c r="Q29" s="90">
        <f t="shared" si="2"/>
        <v>96548</v>
      </c>
    </row>
    <row r="30" spans="1:17" ht="12" customHeight="1">
      <c r="A30" s="62">
        <v>2303</v>
      </c>
      <c r="B30" s="66" t="s">
        <v>20</v>
      </c>
      <c r="C30" s="70">
        <f>ROUND(VLOOKUP(A30,'Contribution Allocation_Report'!$A$9:$D$310,4,FALSE)*'OPEB Amounts_Report'!$C$323,0)</f>
        <v>1457296</v>
      </c>
      <c r="D30" s="70">
        <f>ROUND(VLOOKUP(A30,'Contribution Allocation_Report'!$A$9:$D$310,4,FALSE)*'OPEB Amounts_Report'!$D$323,0)</f>
        <v>21308</v>
      </c>
      <c r="E30" s="70">
        <f>ROUND(VLOOKUP(A30,'Contribution Allocation_Report'!$A$9:$D$310,4,FALSE)*'OPEB Amounts_Report'!$E$323,0)</f>
        <v>291764</v>
      </c>
      <c r="F30" s="70">
        <f>INDEX('Change in Proportion Layers'!$Z$8:$Z$321,MATCH('OPEB Amounts_Report'!A30,'Change in Proportion Layers'!$A$8:$A$321,0))</f>
        <v>0</v>
      </c>
      <c r="G30" s="70">
        <f t="shared" si="1"/>
        <v>313072</v>
      </c>
      <c r="H30" s="70"/>
      <c r="I30" s="70">
        <f>ROUND(VLOOKUP(A30,'Contribution Allocation_Report'!$A$9:$D$310,4,FALSE)*'OPEB Amounts_Report'!$I$323,0)</f>
        <v>232408</v>
      </c>
      <c r="J30" s="70">
        <f>ROUND(VLOOKUP(A30,'Contribution Allocation_Report'!$A$9:$D$310,4,FALSE)*'OPEB Amounts_Report'!$J$323,0)</f>
        <v>41772</v>
      </c>
      <c r="K30" s="70">
        <f>ROUND(VLOOKUP(A30,'Contribution Allocation_Report'!$A$9:$D$310,4,FALSE)*'OPEB Amounts_Report'!$K$323,0)</f>
        <v>526864</v>
      </c>
      <c r="L30" s="296">
        <f>INDEX('Change in Proportion Layers'!$AA$8:$AA$321,MATCH('OPEB Amounts_Report'!A30,'Change in Proportion Layers'!$A$8:$A$321,0))</f>
        <v>266647</v>
      </c>
      <c r="M30" s="70">
        <f t="shared" si="0"/>
        <v>1067691</v>
      </c>
      <c r="N30" s="71"/>
      <c r="O30" s="71">
        <f>ROUND(VLOOKUP(A30,'Contribution Allocation_Report'!$A$9:$D$310,4,FALSE)*'OPEB Amounts_Report'!$O$323,0)</f>
        <v>-156939</v>
      </c>
      <c r="P30" s="71">
        <f>INDEX('Change in Proportion Layers'!$X$8:$X$321,MATCH('OPEB Amounts_Report'!A30,'Change in Proportion Layers'!$A$8:$A$321,0))</f>
        <v>-78935</v>
      </c>
      <c r="Q30" s="71">
        <f t="shared" si="2"/>
        <v>-235874</v>
      </c>
    </row>
    <row r="31" spans="1:17" ht="12" customHeight="1">
      <c r="A31" s="254">
        <v>20316</v>
      </c>
      <c r="B31" s="255" t="s">
        <v>21</v>
      </c>
      <c r="C31" s="89">
        <f>ROUND(VLOOKUP(A31,'Contribution Allocation_Report'!$A$9:$D$310,4,FALSE)*'OPEB Amounts_Report'!$C$323,0)</f>
        <v>756451</v>
      </c>
      <c r="D31" s="89">
        <f>ROUND(VLOOKUP(A31,'Contribution Allocation_Report'!$A$9:$D$310,4,FALSE)*'OPEB Amounts_Report'!$D$323,0)</f>
        <v>11060</v>
      </c>
      <c r="E31" s="89">
        <f>ROUND(VLOOKUP(A31,'Contribution Allocation_Report'!$A$9:$D$310,4,FALSE)*'OPEB Amounts_Report'!$E$323,0)</f>
        <v>151449</v>
      </c>
      <c r="F31" s="297">
        <f>INDEX('Change in Proportion Layers'!$Z$8:$Z$321,MATCH('OPEB Amounts_Report'!A31,'Change in Proportion Layers'!$A$8:$A$321,0))</f>
        <v>84241</v>
      </c>
      <c r="G31" s="89">
        <f t="shared" si="1"/>
        <v>246750</v>
      </c>
      <c r="H31" s="89"/>
      <c r="I31" s="89">
        <f>ROUND(VLOOKUP(A31,'Contribution Allocation_Report'!$A$9:$D$310,4,FALSE)*'OPEB Amounts_Report'!$I$323,0)</f>
        <v>120638</v>
      </c>
      <c r="J31" s="89">
        <f>ROUND(VLOOKUP(A31,'Contribution Allocation_Report'!$A$9:$D$310,4,FALSE)*'OPEB Amounts_Report'!$J$323,0)</f>
        <v>21683</v>
      </c>
      <c r="K31" s="89">
        <f>ROUND(VLOOKUP(A31,'Contribution Allocation_Report'!$A$9:$D$310,4,FALSE)*'OPEB Amounts_Report'!$K$323,0)</f>
        <v>273484</v>
      </c>
      <c r="L31" s="89">
        <f>INDEX('Change in Proportion Layers'!$AA$8:$AA$321,MATCH('OPEB Amounts_Report'!A31,'Change in Proportion Layers'!$A$8:$A$321,0))</f>
        <v>0</v>
      </c>
      <c r="M31" s="89">
        <f t="shared" si="0"/>
        <v>415805</v>
      </c>
      <c r="N31" s="90"/>
      <c r="O31" s="90">
        <f>ROUND(VLOOKUP(A31,'Contribution Allocation_Report'!$A$9:$D$310,4,FALSE)*'OPEB Amounts_Report'!$O$323,0)</f>
        <v>-81463</v>
      </c>
      <c r="P31" s="90">
        <f>INDEX('Change in Proportion Layers'!$X$8:$X$321,MATCH('OPEB Amounts_Report'!A31,'Change in Proportion Layers'!$A$8:$A$321,0))</f>
        <v>19164</v>
      </c>
      <c r="Q31" s="90">
        <f t="shared" si="2"/>
        <v>-62299</v>
      </c>
    </row>
    <row r="32" spans="1:17" ht="12" customHeight="1">
      <c r="A32" s="62">
        <v>23121</v>
      </c>
      <c r="B32" s="66" t="s">
        <v>22</v>
      </c>
      <c r="C32" s="70">
        <f>ROUND(VLOOKUP(A32,'Contribution Allocation_Report'!$A$9:$D$310,4,FALSE)*'OPEB Amounts_Report'!$C$323,0)</f>
        <v>921956</v>
      </c>
      <c r="D32" s="70">
        <f>ROUND(VLOOKUP(A32,'Contribution Allocation_Report'!$A$9:$D$310,4,FALSE)*'OPEB Amounts_Report'!$D$323,0)</f>
        <v>13480</v>
      </c>
      <c r="E32" s="70">
        <f>ROUND(VLOOKUP(A32,'Contribution Allocation_Report'!$A$9:$D$310,4,FALSE)*'OPEB Amounts_Report'!$E$323,0)</f>
        <v>184584</v>
      </c>
      <c r="F32" s="70">
        <f>INDEX('Change in Proportion Layers'!$Z$8:$Z$321,MATCH('OPEB Amounts_Report'!A32,'Change in Proportion Layers'!$A$8:$A$321,0))</f>
        <v>0</v>
      </c>
      <c r="G32" s="70">
        <f t="shared" si="1"/>
        <v>198064</v>
      </c>
      <c r="H32" s="70"/>
      <c r="I32" s="70">
        <f>ROUND(VLOOKUP(A32,'Contribution Allocation_Report'!$A$9:$D$310,4,FALSE)*'OPEB Amounts_Report'!$I$323,0)</f>
        <v>147033</v>
      </c>
      <c r="J32" s="70">
        <f>ROUND(VLOOKUP(A32,'Contribution Allocation_Report'!$A$9:$D$310,4,FALSE)*'OPEB Amounts_Report'!$J$323,0)</f>
        <v>26427</v>
      </c>
      <c r="K32" s="70">
        <f>ROUND(VLOOKUP(A32,'Contribution Allocation_Report'!$A$9:$D$310,4,FALSE)*'OPEB Amounts_Report'!$K$323,0)</f>
        <v>333320</v>
      </c>
      <c r="L32" s="70">
        <f>INDEX('Change in Proportion Layers'!$AA$8:$AA$321,MATCH('OPEB Amounts_Report'!A32,'Change in Proportion Layers'!$A$8:$A$321,0))</f>
        <v>211498</v>
      </c>
      <c r="M32" s="70">
        <f t="shared" si="0"/>
        <v>718278</v>
      </c>
      <c r="N32" s="71"/>
      <c r="O32" s="71">
        <f>ROUND(VLOOKUP(A32,'Contribution Allocation_Report'!$A$9:$D$310,4,FALSE)*'OPEB Amounts_Report'!$O$323,0)</f>
        <v>-99287</v>
      </c>
      <c r="P32" s="71">
        <f>INDEX('Change in Proportion Layers'!$X$8:$X$321,MATCH('OPEB Amounts_Report'!A32,'Change in Proportion Layers'!$A$8:$A$321,0))</f>
        <v>-60138</v>
      </c>
      <c r="Q32" s="71">
        <f t="shared" si="2"/>
        <v>-159425</v>
      </c>
    </row>
    <row r="33" spans="1:17" ht="12" customHeight="1">
      <c r="A33" s="254">
        <v>3004</v>
      </c>
      <c r="B33" s="255" t="s">
        <v>23</v>
      </c>
      <c r="C33" s="89">
        <f>ROUND(VLOOKUP(A33,'Contribution Allocation_Report'!$A$9:$D$310,4,FALSE)*'OPEB Amounts_Report'!$C$323,0)</f>
        <v>16243470</v>
      </c>
      <c r="D33" s="89">
        <f>ROUND(VLOOKUP(A33,'Contribution Allocation_Report'!$A$9:$D$310,4,FALSE)*'OPEB Amounts_Report'!$D$323,0)</f>
        <v>237501</v>
      </c>
      <c r="E33" s="89">
        <f>ROUND(VLOOKUP(A33,'Contribution Allocation_Report'!$A$9:$D$310,4,FALSE)*'OPEB Amounts_Report'!$E$323,0)</f>
        <v>3252093</v>
      </c>
      <c r="F33" s="89">
        <f>INDEX('Change in Proportion Layers'!$Z$8:$Z$321,MATCH('OPEB Amounts_Report'!A33,'Change in Proportion Layers'!$A$8:$A$321,0))</f>
        <v>538884</v>
      </c>
      <c r="G33" s="89">
        <f t="shared" si="1"/>
        <v>4028478</v>
      </c>
      <c r="H33" s="89"/>
      <c r="I33" s="89">
        <f>ROUND(VLOOKUP(A33,'Contribution Allocation_Report'!$A$9:$D$310,4,FALSE)*'OPEB Amounts_Report'!$I$323,0)</f>
        <v>2590496</v>
      </c>
      <c r="J33" s="89">
        <f>ROUND(VLOOKUP(A33,'Contribution Allocation_Report'!$A$9:$D$310,4,FALSE)*'OPEB Amounts_Report'!$J$323,0)</f>
        <v>465605</v>
      </c>
      <c r="K33" s="89">
        <f>ROUND(VLOOKUP(A33,'Contribution Allocation_Report'!$A$9:$D$310,4,FALSE)*'OPEB Amounts_Report'!$K$323,0)</f>
        <v>5872590</v>
      </c>
      <c r="L33" s="89">
        <f>INDEX('Change in Proportion Layers'!$AA$8:$AA$321,MATCH('OPEB Amounts_Report'!A33,'Change in Proportion Layers'!$A$8:$A$321,0))</f>
        <v>357572</v>
      </c>
      <c r="M33" s="89">
        <f t="shared" si="0"/>
        <v>9286263</v>
      </c>
      <c r="N33" s="90"/>
      <c r="O33" s="90">
        <f>ROUND(VLOOKUP(A33,'Contribution Allocation_Report'!$A$9:$D$310,4,FALSE)*'OPEB Amounts_Report'!$O$323,0)</f>
        <v>-1749286</v>
      </c>
      <c r="P33" s="90">
        <f>INDEX('Change in Proportion Layers'!$X$8:$X$321,MATCH('OPEB Amounts_Report'!A33,'Change in Proportion Layers'!$A$8:$A$321,0))</f>
        <v>40493</v>
      </c>
      <c r="Q33" s="90">
        <f t="shared" si="2"/>
        <v>-1708793</v>
      </c>
    </row>
    <row r="34" spans="1:17" ht="12" customHeight="1">
      <c r="A34" s="62">
        <v>16050</v>
      </c>
      <c r="B34" s="66" t="s">
        <v>24</v>
      </c>
      <c r="C34" s="70">
        <f>ROUND(VLOOKUP(A34,'Contribution Allocation_Report'!$A$9:$D$310,4,FALSE)*'OPEB Amounts_Report'!$C$323,0)</f>
        <v>11086176</v>
      </c>
      <c r="D34" s="70">
        <f>ROUND(VLOOKUP(A34,'Contribution Allocation_Report'!$A$9:$D$310,4,FALSE)*'OPEB Amounts_Report'!$D$323,0)</f>
        <v>162094</v>
      </c>
      <c r="E34" s="70">
        <f>ROUND(VLOOKUP(A34,'Contribution Allocation_Report'!$A$9:$D$310,4,FALSE)*'OPEB Amounts_Report'!$E$323,0)</f>
        <v>2219555</v>
      </c>
      <c r="F34" s="70">
        <f>INDEX('Change in Proportion Layers'!$Z$8:$Z$321,MATCH('OPEB Amounts_Report'!A34,'Change in Proportion Layers'!$A$8:$A$321,0))</f>
        <v>392453</v>
      </c>
      <c r="G34" s="70">
        <f t="shared" si="1"/>
        <v>2774102</v>
      </c>
      <c r="H34" s="70"/>
      <c r="I34" s="70">
        <f>ROUND(VLOOKUP(A34,'Contribution Allocation_Report'!$A$9:$D$310,4,FALSE)*'OPEB Amounts_Report'!$I$323,0)</f>
        <v>1768014</v>
      </c>
      <c r="J34" s="70">
        <f>ROUND(VLOOKUP(A34,'Contribution Allocation_Report'!$A$9:$D$310,4,FALSE)*'OPEB Amounts_Report'!$J$323,0)</f>
        <v>317776</v>
      </c>
      <c r="K34" s="70">
        <f>ROUND(VLOOKUP(A34,'Contribution Allocation_Report'!$A$9:$D$310,4,FALSE)*'OPEB Amounts_Report'!$K$323,0)</f>
        <v>4008045</v>
      </c>
      <c r="L34" s="70">
        <f>INDEX('Change in Proportion Layers'!$AA$8:$AA$321,MATCH('OPEB Amounts_Report'!A34,'Change in Proportion Layers'!$A$8:$A$321,0))</f>
        <v>377171</v>
      </c>
      <c r="M34" s="70">
        <f t="shared" si="0"/>
        <v>6471006</v>
      </c>
      <c r="N34" s="71"/>
      <c r="O34" s="71">
        <f>ROUND(VLOOKUP(A34,'Contribution Allocation_Report'!$A$9:$D$310,4,FALSE)*'OPEB Amounts_Report'!$O$323,0)</f>
        <v>-1193888</v>
      </c>
      <c r="P34" s="71">
        <f>INDEX('Change in Proportion Layers'!$X$8:$X$321,MATCH('OPEB Amounts_Report'!A34,'Change in Proportion Layers'!$A$8:$A$321,0))</f>
        <v>-101835</v>
      </c>
      <c r="Q34" s="71">
        <f t="shared" si="2"/>
        <v>-1295723</v>
      </c>
    </row>
    <row r="35" spans="1:17" ht="12" customHeight="1">
      <c r="A35" s="254">
        <v>14043</v>
      </c>
      <c r="B35" s="255" t="s">
        <v>25</v>
      </c>
      <c r="C35" s="89">
        <f>ROUND(VLOOKUP(A35,'Contribution Allocation_Report'!$A$9:$D$310,4,FALSE)*'OPEB Amounts_Report'!$C$323,0)</f>
        <v>15285320</v>
      </c>
      <c r="D35" s="89">
        <f>ROUND(VLOOKUP(A35,'Contribution Allocation_Report'!$A$9:$D$310,4,FALSE)*'OPEB Amounts_Report'!$D$323,0)</f>
        <v>223492</v>
      </c>
      <c r="E35" s="89">
        <f>ROUND(VLOOKUP(A35,'Contribution Allocation_Report'!$A$9:$D$310,4,FALSE)*'OPEB Amounts_Report'!$E$323,0)</f>
        <v>3060263</v>
      </c>
      <c r="F35" s="89">
        <f>INDEX('Change in Proportion Layers'!$Z$8:$Z$321,MATCH('OPEB Amounts_Report'!A35,'Change in Proportion Layers'!$A$8:$A$321,0))</f>
        <v>1868476</v>
      </c>
      <c r="G35" s="89">
        <f t="shared" si="1"/>
        <v>5152231</v>
      </c>
      <c r="H35" s="89"/>
      <c r="I35" s="89">
        <f>ROUND(VLOOKUP(A35,'Contribution Allocation_Report'!$A$9:$D$310,4,FALSE)*'OPEB Amounts_Report'!$I$323,0)</f>
        <v>2437691</v>
      </c>
      <c r="J35" s="89">
        <f>ROUND(VLOOKUP(A35,'Contribution Allocation_Report'!$A$9:$D$310,4,FALSE)*'OPEB Amounts_Report'!$J$323,0)</f>
        <v>438141</v>
      </c>
      <c r="K35" s="89">
        <f>ROUND(VLOOKUP(A35,'Contribution Allocation_Report'!$A$9:$D$310,4,FALSE)*'OPEB Amounts_Report'!$K$323,0)</f>
        <v>5526185</v>
      </c>
      <c r="L35" s="89">
        <f>INDEX('Change in Proportion Layers'!$AA$8:$AA$321,MATCH('OPEB Amounts_Report'!A35,'Change in Proportion Layers'!$A$8:$A$321,0))</f>
        <v>2758817</v>
      </c>
      <c r="M35" s="89">
        <f t="shared" si="0"/>
        <v>11160834</v>
      </c>
      <c r="N35" s="90"/>
      <c r="O35" s="90">
        <f>ROUND(VLOOKUP(A35,'Contribution Allocation_Report'!$A$9:$D$310,4,FALSE)*'OPEB Amounts_Report'!$O$323,0)</f>
        <v>-1646101</v>
      </c>
      <c r="P35" s="90">
        <f>INDEX('Change in Proportion Layers'!$X$8:$X$321,MATCH('OPEB Amounts_Report'!A35,'Change in Proportion Layers'!$A$8:$A$321,0))</f>
        <v>-213129</v>
      </c>
      <c r="Q35" s="90">
        <f t="shared" si="2"/>
        <v>-1859230</v>
      </c>
    </row>
    <row r="36" spans="1:17" ht="12" customHeight="1">
      <c r="A36" s="62">
        <v>3010</v>
      </c>
      <c r="B36" s="66" t="s">
        <v>26</v>
      </c>
      <c r="C36" s="70">
        <f>ROUND(VLOOKUP(A36,'Contribution Allocation_Report'!$A$9:$D$310,4,FALSE)*'OPEB Amounts_Report'!$C$323,0)</f>
        <v>95808405</v>
      </c>
      <c r="D36" s="70">
        <f>ROUND(VLOOKUP(A36,'Contribution Allocation_Report'!$A$9:$D$310,4,FALSE)*'OPEB Amounts_Report'!$D$323,0)</f>
        <v>1400845</v>
      </c>
      <c r="E36" s="70">
        <f>ROUND(VLOOKUP(A36,'Contribution Allocation_Report'!$A$9:$D$310,4,FALSE)*'OPEB Amounts_Report'!$E$323,0)</f>
        <v>19181730</v>
      </c>
      <c r="F36" s="70">
        <f>INDEX('Change in Proportion Layers'!$Z$8:$Z$321,MATCH('OPEB Amounts_Report'!A36,'Change in Proportion Layers'!$A$8:$A$321,0))</f>
        <v>3514622</v>
      </c>
      <c r="G36" s="70">
        <f t="shared" si="1"/>
        <v>24097197</v>
      </c>
      <c r="H36" s="70"/>
      <c r="I36" s="70">
        <f>ROUND(VLOOKUP(A36,'Contribution Allocation_Report'!$A$9:$D$310,4,FALSE)*'OPEB Amounts_Report'!$I$323,0)</f>
        <v>15279448</v>
      </c>
      <c r="J36" s="70">
        <f>ROUND(VLOOKUP(A36,'Contribution Allocation_Report'!$A$9:$D$310,4,FALSE)*'OPEB Amounts_Report'!$J$323,0)</f>
        <v>2746267</v>
      </c>
      <c r="K36" s="70">
        <f>ROUND(VLOOKUP(A36,'Contribution Allocation_Report'!$A$9:$D$310,4,FALSE)*'OPEB Amounts_Report'!$K$323,0)</f>
        <v>34638135</v>
      </c>
      <c r="L36" s="70">
        <f>INDEX('Change in Proportion Layers'!$AA$8:$AA$321,MATCH('OPEB Amounts_Report'!A36,'Change in Proportion Layers'!$A$8:$A$321,0))</f>
        <v>3049515</v>
      </c>
      <c r="M36" s="70">
        <f t="shared" si="0"/>
        <v>55713365</v>
      </c>
      <c r="N36" s="71"/>
      <c r="O36" s="71">
        <f>ROUND(VLOOKUP(A36,'Contribution Allocation_Report'!$A$9:$D$310,4,FALSE)*'OPEB Amounts_Report'!$O$323,0)</f>
        <v>-10317764</v>
      </c>
      <c r="P36" s="71">
        <f>INDEX('Change in Proportion Layers'!$X$8:$X$321,MATCH('OPEB Amounts_Report'!A36,'Change in Proportion Layers'!$A$8:$A$321,0))</f>
        <v>333539</v>
      </c>
      <c r="Q36" s="71">
        <f t="shared" si="2"/>
        <v>-9984225</v>
      </c>
    </row>
    <row r="37" spans="1:17" ht="12" customHeight="1">
      <c r="A37" s="254">
        <v>29086</v>
      </c>
      <c r="B37" s="255" t="s">
        <v>27</v>
      </c>
      <c r="C37" s="89">
        <f>ROUND(VLOOKUP(A37,'Contribution Allocation_Report'!$A$9:$D$310,4,FALSE)*'OPEB Amounts_Report'!$C$323,0)</f>
        <v>14314338</v>
      </c>
      <c r="D37" s="89">
        <f>ROUND(VLOOKUP(A37,'Contribution Allocation_Report'!$A$9:$D$310,4,FALSE)*'OPEB Amounts_Report'!$D$323,0)</f>
        <v>209294</v>
      </c>
      <c r="E37" s="89">
        <f>ROUND(VLOOKUP(A37,'Contribution Allocation_Report'!$A$9:$D$310,4,FALSE)*'OPEB Amounts_Report'!$E$323,0)</f>
        <v>2865863</v>
      </c>
      <c r="F37" s="89">
        <f>INDEX('Change in Proportion Layers'!$Z$8:$Z$321,MATCH('OPEB Amounts_Report'!A37,'Change in Proportion Layers'!$A$8:$A$321,0))</f>
        <v>569571</v>
      </c>
      <c r="G37" s="89">
        <f t="shared" si="1"/>
        <v>3644728</v>
      </c>
      <c r="H37" s="89"/>
      <c r="I37" s="89">
        <f>ROUND(VLOOKUP(A37,'Contribution Allocation_Report'!$A$9:$D$310,4,FALSE)*'OPEB Amounts_Report'!$I$323,0)</f>
        <v>2282839</v>
      </c>
      <c r="J37" s="89">
        <f>ROUND(VLOOKUP(A37,'Contribution Allocation_Report'!$A$9:$D$310,4,FALSE)*'OPEB Amounts_Report'!$J$323,0)</f>
        <v>410308</v>
      </c>
      <c r="K37" s="89">
        <f>ROUND(VLOOKUP(A37,'Contribution Allocation_Report'!$A$9:$D$310,4,FALSE)*'OPEB Amounts_Report'!$K$323,0)</f>
        <v>5175141</v>
      </c>
      <c r="L37" s="297">
        <f>INDEX('Change in Proportion Layers'!$AA$8:$AA$321,MATCH('OPEB Amounts_Report'!A37,'Change in Proportion Layers'!$A$8:$A$321,0))</f>
        <v>1132659</v>
      </c>
      <c r="M37" s="89">
        <f t="shared" si="0"/>
        <v>9000947</v>
      </c>
      <c r="N37" s="90"/>
      <c r="O37" s="90">
        <f>ROUND(VLOOKUP(A37,'Contribution Allocation_Report'!$A$9:$D$310,4,FALSE)*'OPEB Amounts_Report'!$O$323,0)</f>
        <v>-1541534</v>
      </c>
      <c r="P37" s="90">
        <f>INDEX('Change in Proportion Layers'!$X$8:$X$321,MATCH('OPEB Amounts_Report'!A37,'Change in Proportion Layers'!$A$8:$A$321,0))</f>
        <v>-174025</v>
      </c>
      <c r="Q37" s="90">
        <f t="shared" si="2"/>
        <v>-1715559</v>
      </c>
    </row>
    <row r="38" spans="1:17" ht="12" customHeight="1">
      <c r="A38" s="62">
        <v>16051</v>
      </c>
      <c r="B38" s="66" t="s">
        <v>28</v>
      </c>
      <c r="C38" s="70">
        <f>ROUND(VLOOKUP(A38,'Contribution Allocation_Report'!$A$9:$D$310,4,FALSE)*'OPEB Amounts_Report'!$C$323,0)</f>
        <v>12462858</v>
      </c>
      <c r="D38" s="70">
        <f>ROUND(VLOOKUP(A38,'Contribution Allocation_Report'!$A$9:$D$310,4,FALSE)*'OPEB Amounts_Report'!$D$323,0)</f>
        <v>182223</v>
      </c>
      <c r="E38" s="70">
        <f>ROUND(VLOOKUP(A38,'Contribution Allocation_Report'!$A$9:$D$310,4,FALSE)*'OPEB Amounts_Report'!$E$323,0)</f>
        <v>2495180</v>
      </c>
      <c r="F38" s="70">
        <f>INDEX('Change in Proportion Layers'!$Z$8:$Z$321,MATCH('OPEB Amounts_Report'!A38,'Change in Proportion Layers'!$A$8:$A$321,0))</f>
        <v>432161</v>
      </c>
      <c r="G38" s="70">
        <f t="shared" si="1"/>
        <v>3109564</v>
      </c>
      <c r="H38" s="70"/>
      <c r="I38" s="70">
        <f>ROUND(VLOOKUP(A38,'Contribution Allocation_Report'!$A$9:$D$310,4,FALSE)*'OPEB Amounts_Report'!$I$323,0)</f>
        <v>1987567</v>
      </c>
      <c r="J38" s="70">
        <f>ROUND(VLOOKUP(A38,'Contribution Allocation_Report'!$A$9:$D$310,4,FALSE)*'OPEB Amounts_Report'!$J$323,0)</f>
        <v>357237</v>
      </c>
      <c r="K38" s="70">
        <f>ROUND(VLOOKUP(A38,'Contribution Allocation_Report'!$A$9:$D$310,4,FALSE)*'OPEB Amounts_Report'!$K$323,0)</f>
        <v>4505765</v>
      </c>
      <c r="L38" s="296">
        <f>INDEX('Change in Proportion Layers'!$AA$8:$AA$321,MATCH('OPEB Amounts_Report'!A38,'Change in Proportion Layers'!$A$8:$A$321,0))</f>
        <v>0</v>
      </c>
      <c r="M38" s="70">
        <f t="shared" si="0"/>
        <v>6850569</v>
      </c>
      <c r="N38" s="71"/>
      <c r="O38" s="71">
        <f>ROUND(VLOOKUP(A38,'Contribution Allocation_Report'!$A$9:$D$310,4,FALSE)*'OPEB Amounts_Report'!$O$323,0)</f>
        <v>-1342146</v>
      </c>
      <c r="P38" s="71">
        <f>INDEX('Change in Proportion Layers'!$X$8:$X$321,MATCH('OPEB Amounts_Report'!A38,'Change in Proportion Layers'!$A$8:$A$321,0))</f>
        <v>128634</v>
      </c>
      <c r="Q38" s="71">
        <f t="shared" si="2"/>
        <v>-1213512</v>
      </c>
    </row>
    <row r="39" spans="1:17" ht="12" customHeight="1">
      <c r="A39" s="254">
        <v>26077</v>
      </c>
      <c r="B39" s="255" t="s">
        <v>29</v>
      </c>
      <c r="C39" s="89">
        <f>ROUND(VLOOKUP(A39,'Contribution Allocation_Report'!$A$9:$D$310,4,FALSE)*'OPEB Amounts_Report'!$C$323,0)</f>
        <v>2335819</v>
      </c>
      <c r="D39" s="89">
        <f>ROUND(VLOOKUP(A39,'Contribution Allocation_Report'!$A$9:$D$310,4,FALSE)*'OPEB Amounts_Report'!$D$323,0)</f>
        <v>34153</v>
      </c>
      <c r="E39" s="89">
        <f>ROUND(VLOOKUP(A39,'Contribution Allocation_Report'!$A$9:$D$310,4,FALSE)*'OPEB Amounts_Report'!$E$323,0)</f>
        <v>467653</v>
      </c>
      <c r="F39" s="89">
        <f>INDEX('Change in Proportion Layers'!$Z$8:$Z$321,MATCH('OPEB Amounts_Report'!A39,'Change in Proportion Layers'!$A$8:$A$321,0))</f>
        <v>85914</v>
      </c>
      <c r="G39" s="89">
        <f t="shared" si="1"/>
        <v>587720</v>
      </c>
      <c r="H39" s="89"/>
      <c r="I39" s="89">
        <f>ROUND(VLOOKUP(A39,'Contribution Allocation_Report'!$A$9:$D$310,4,FALSE)*'OPEB Amounts_Report'!$I$323,0)</f>
        <v>372515</v>
      </c>
      <c r="J39" s="89">
        <f>ROUND(VLOOKUP(A39,'Contribution Allocation_Report'!$A$9:$D$310,4,FALSE)*'OPEB Amounts_Report'!$J$323,0)</f>
        <v>66954</v>
      </c>
      <c r="K39" s="89">
        <f>ROUND(VLOOKUP(A39,'Contribution Allocation_Report'!$A$9:$D$310,4,FALSE)*'OPEB Amounts_Report'!$K$323,0)</f>
        <v>844481</v>
      </c>
      <c r="L39" s="89">
        <f>INDEX('Change in Proportion Layers'!$AA$8:$AA$321,MATCH('OPEB Amounts_Report'!A39,'Change in Proportion Layers'!$A$8:$A$321,0))</f>
        <v>64129</v>
      </c>
      <c r="M39" s="89">
        <f t="shared" si="0"/>
        <v>1348079</v>
      </c>
      <c r="N39" s="90"/>
      <c r="O39" s="90">
        <f>ROUND(VLOOKUP(A39,'Contribution Allocation_Report'!$A$9:$D$310,4,FALSE)*'OPEB Amounts_Report'!$O$323,0)</f>
        <v>-251548</v>
      </c>
      <c r="P39" s="90">
        <f>INDEX('Change in Proportion Layers'!$X$8:$X$321,MATCH('OPEB Amounts_Report'!A39,'Change in Proportion Layers'!$A$8:$A$321,0))</f>
        <v>24764</v>
      </c>
      <c r="Q39" s="90">
        <f t="shared" si="2"/>
        <v>-226784</v>
      </c>
    </row>
    <row r="40" spans="1:17" ht="12" customHeight="1">
      <c r="A40" s="62">
        <v>3005</v>
      </c>
      <c r="B40" s="66" t="s">
        <v>30</v>
      </c>
      <c r="C40" s="70">
        <f>ROUND(VLOOKUP(A40,'Contribution Allocation_Report'!$A$9:$D$310,4,FALSE)*'OPEB Amounts_Report'!$C$323,0)</f>
        <v>27251993</v>
      </c>
      <c r="D40" s="70">
        <f>ROUND(VLOOKUP(A40,'Contribution Allocation_Report'!$A$9:$D$310,4,FALSE)*'OPEB Amounts_Report'!$D$323,0)</f>
        <v>398460</v>
      </c>
      <c r="E40" s="70">
        <f>ROUND(VLOOKUP(A40,'Contribution Allocation_Report'!$A$9:$D$310,4,FALSE)*'OPEB Amounts_Report'!$E$323,0)</f>
        <v>5456101</v>
      </c>
      <c r="F40" s="70">
        <f>INDEX('Change in Proportion Layers'!$Z$8:$Z$321,MATCH('OPEB Amounts_Report'!A40,'Change in Proportion Layers'!$A$8:$A$321,0))</f>
        <v>117263</v>
      </c>
      <c r="G40" s="70">
        <f t="shared" si="1"/>
        <v>5971824</v>
      </c>
      <c r="H40" s="70"/>
      <c r="I40" s="70">
        <f>ROUND(VLOOKUP(A40,'Contribution Allocation_Report'!$A$9:$D$310,4,FALSE)*'OPEB Amounts_Report'!$I$323,0)</f>
        <v>4346126</v>
      </c>
      <c r="J40" s="70">
        <f>ROUND(VLOOKUP(A40,'Contribution Allocation_Report'!$A$9:$D$310,4,FALSE)*'OPEB Amounts_Report'!$J$323,0)</f>
        <v>781155</v>
      </c>
      <c r="K40" s="70">
        <f>ROUND(VLOOKUP(A40,'Contribution Allocation_Report'!$A$9:$D$310,4,FALSE)*'OPEB Amounts_Report'!$K$323,0)</f>
        <v>9852562</v>
      </c>
      <c r="L40" s="70">
        <f>INDEX('Change in Proportion Layers'!$AA$8:$AA$321,MATCH('OPEB Amounts_Report'!A40,'Change in Proportion Layers'!$A$8:$A$321,0))</f>
        <v>2809579</v>
      </c>
      <c r="M40" s="70">
        <f t="shared" si="0"/>
        <v>17789422</v>
      </c>
      <c r="N40" s="71"/>
      <c r="O40" s="71">
        <f>ROUND(VLOOKUP(A40,'Contribution Allocation_Report'!$A$9:$D$310,4,FALSE)*'OPEB Amounts_Report'!$O$323,0)</f>
        <v>-2934812</v>
      </c>
      <c r="P40" s="71">
        <f>INDEX('Change in Proportion Layers'!$X$8:$X$321,MATCH('OPEB Amounts_Report'!A40,'Change in Proportion Layers'!$A$8:$A$321,0))</f>
        <v>-622874</v>
      </c>
      <c r="Q40" s="71">
        <f t="shared" si="2"/>
        <v>-3557686</v>
      </c>
    </row>
    <row r="41" spans="1:17" ht="12" customHeight="1">
      <c r="A41" s="254">
        <v>26078</v>
      </c>
      <c r="B41" s="255" t="s">
        <v>31</v>
      </c>
      <c r="C41" s="89">
        <f>ROUND(VLOOKUP(A41,'Contribution Allocation_Report'!$A$9:$D$310,4,FALSE)*'OPEB Amounts_Report'!$C$323,0)</f>
        <v>1015073</v>
      </c>
      <c r="D41" s="89">
        <f>ROUND(VLOOKUP(A41,'Contribution Allocation_Report'!$A$9:$D$310,4,FALSE)*'OPEB Amounts_Report'!$D$323,0)</f>
        <v>14842</v>
      </c>
      <c r="E41" s="89">
        <f>ROUND(VLOOKUP(A41,'Contribution Allocation_Report'!$A$9:$D$310,4,FALSE)*'OPEB Amounts_Report'!$E$323,0)</f>
        <v>203227</v>
      </c>
      <c r="F41" s="89">
        <f>INDEX('Change in Proportion Layers'!$Z$8:$Z$321,MATCH('OPEB Amounts_Report'!A41,'Change in Proportion Layers'!$A$8:$A$321,0))</f>
        <v>81989</v>
      </c>
      <c r="G41" s="89">
        <f t="shared" si="1"/>
        <v>300058</v>
      </c>
      <c r="H41" s="89"/>
      <c r="I41" s="89">
        <f>ROUND(VLOOKUP(A41,'Contribution Allocation_Report'!$A$9:$D$310,4,FALSE)*'OPEB Amounts_Report'!$I$323,0)</f>
        <v>161883</v>
      </c>
      <c r="J41" s="89">
        <f>ROUND(VLOOKUP(A41,'Contribution Allocation_Report'!$A$9:$D$310,4,FALSE)*'OPEB Amounts_Report'!$J$323,0)</f>
        <v>29096</v>
      </c>
      <c r="K41" s="89">
        <f>ROUND(VLOOKUP(A41,'Contribution Allocation_Report'!$A$9:$D$310,4,FALSE)*'OPEB Amounts_Report'!$K$323,0)</f>
        <v>366985</v>
      </c>
      <c r="L41" s="89">
        <f>INDEX('Change in Proportion Layers'!$AA$8:$AA$321,MATCH('OPEB Amounts_Report'!A41,'Change in Proportion Layers'!$A$8:$A$321,0))</f>
        <v>71385</v>
      </c>
      <c r="M41" s="89">
        <f t="shared" si="0"/>
        <v>629349</v>
      </c>
      <c r="N41" s="90"/>
      <c r="O41" s="90">
        <f>ROUND(VLOOKUP(A41,'Contribution Allocation_Report'!$A$9:$D$310,4,FALSE)*'OPEB Amounts_Report'!$O$323,0)</f>
        <v>-109315</v>
      </c>
      <c r="P41" s="90">
        <f>INDEX('Change in Proportion Layers'!$X$8:$X$321,MATCH('OPEB Amounts_Report'!A41,'Change in Proportion Layers'!$A$8:$A$321,0))</f>
        <v>8635</v>
      </c>
      <c r="Q41" s="90">
        <f t="shared" si="2"/>
        <v>-100680</v>
      </c>
    </row>
    <row r="42" spans="1:17" ht="12" customHeight="1">
      <c r="A42" s="62">
        <v>16053</v>
      </c>
      <c r="B42" s="66" t="s">
        <v>32</v>
      </c>
      <c r="C42" s="70">
        <f>ROUND(VLOOKUP(A42,'Contribution Allocation_Report'!$A$9:$D$310,4,FALSE)*'OPEB Amounts_Report'!$C$323,0)</f>
        <v>30432116</v>
      </c>
      <c r="D42" s="70">
        <f>ROUND(VLOOKUP(A42,'Contribution Allocation_Report'!$A$9:$D$310,4,FALSE)*'OPEB Amounts_Report'!$D$323,0)</f>
        <v>444958</v>
      </c>
      <c r="E42" s="70">
        <f>ROUND(VLOOKUP(A42,'Contribution Allocation_Report'!$A$9:$D$310,4,FALSE)*'OPEB Amounts_Report'!$E$323,0)</f>
        <v>6092791</v>
      </c>
      <c r="F42" s="70">
        <f>INDEX('Change in Proportion Layers'!$Z$8:$Z$321,MATCH('OPEB Amounts_Report'!A42,'Change in Proportion Layers'!$A$8:$A$321,0))</f>
        <v>1714294</v>
      </c>
      <c r="G42" s="70">
        <f t="shared" si="1"/>
        <v>8252043</v>
      </c>
      <c r="H42" s="70"/>
      <c r="I42" s="70">
        <f>ROUND(VLOOKUP(A42,'Contribution Allocation_Report'!$A$9:$D$310,4,FALSE)*'OPEB Amounts_Report'!$I$323,0)</f>
        <v>4853290</v>
      </c>
      <c r="J42" s="70">
        <f>ROUND(VLOOKUP(A42,'Contribution Allocation_Report'!$A$9:$D$310,4,FALSE)*'OPEB Amounts_Report'!$J$323,0)</f>
        <v>872311</v>
      </c>
      <c r="K42" s="70">
        <f>ROUND(VLOOKUP(A42,'Contribution Allocation_Report'!$A$9:$D$310,4,FALSE)*'OPEB Amounts_Report'!$K$323,0)</f>
        <v>11002289</v>
      </c>
      <c r="L42" s="70">
        <f>INDEX('Change in Proportion Layers'!$AA$8:$AA$321,MATCH('OPEB Amounts_Report'!A42,'Change in Proportion Layers'!$A$8:$A$321,0))</f>
        <v>1178152</v>
      </c>
      <c r="M42" s="70">
        <f t="shared" si="0"/>
        <v>17906042</v>
      </c>
      <c r="N42" s="71"/>
      <c r="O42" s="71">
        <f>ROUND(VLOOKUP(A42,'Contribution Allocation_Report'!$A$9:$D$310,4,FALSE)*'OPEB Amounts_Report'!$O$323,0)</f>
        <v>-3277284</v>
      </c>
      <c r="P42" s="71">
        <f>INDEX('Change in Proportion Layers'!$X$8:$X$321,MATCH('OPEB Amounts_Report'!A42,'Change in Proportion Layers'!$A$8:$A$321,0))</f>
        <v>-86901</v>
      </c>
      <c r="Q42" s="71">
        <f t="shared" si="2"/>
        <v>-3364185</v>
      </c>
    </row>
    <row r="43" spans="1:17" ht="12" customHeight="1">
      <c r="A43" s="254">
        <v>2123</v>
      </c>
      <c r="B43" s="255" t="s">
        <v>33</v>
      </c>
      <c r="C43" s="89">
        <f>ROUND(VLOOKUP(A43,'Contribution Allocation_Report'!$A$9:$D$310,4,FALSE)*'OPEB Amounts_Report'!$C$323,0)</f>
        <v>54643826</v>
      </c>
      <c r="D43" s="89">
        <f>ROUND(VLOOKUP(A43,'Contribution Allocation_Report'!$A$9:$D$310,4,FALSE)*'OPEB Amounts_Report'!$D$323,0)</f>
        <v>798965</v>
      </c>
      <c r="E43" s="89">
        <f>ROUND(VLOOKUP(A43,'Contribution Allocation_Report'!$A$9:$D$310,4,FALSE)*'OPEB Amounts_Report'!$E$323,0)</f>
        <v>10940200</v>
      </c>
      <c r="F43" s="89">
        <f>INDEX('Change in Proportion Layers'!$Z$8:$Z$321,MATCH('OPEB Amounts_Report'!A43,'Change in Proportion Layers'!$A$8:$A$321,0))</f>
        <v>4603033</v>
      </c>
      <c r="G43" s="89">
        <f t="shared" si="1"/>
        <v>16342198</v>
      </c>
      <c r="H43" s="89"/>
      <c r="I43" s="89">
        <f>ROUND(VLOOKUP(A43,'Contribution Allocation_Report'!$A$9:$D$310,4,FALSE)*'OPEB Amounts_Report'!$I$323,0)</f>
        <v>8714554</v>
      </c>
      <c r="J43" s="89">
        <f>ROUND(VLOOKUP(A43,'Contribution Allocation_Report'!$A$9:$D$310,4,FALSE)*'OPEB Amounts_Report'!$J$323,0)</f>
        <v>1566319</v>
      </c>
      <c r="K43" s="89">
        <f>ROUND(VLOOKUP(A43,'Contribution Allocation_Report'!$A$9:$D$310,4,FALSE)*'OPEB Amounts_Report'!$K$323,0)</f>
        <v>19755680</v>
      </c>
      <c r="L43" s="297">
        <f>INDEX('Change in Proportion Layers'!$AA$8:$AA$321,MATCH('OPEB Amounts_Report'!A43,'Change in Proportion Layers'!$A$8:$A$321,0))</f>
        <v>6658059</v>
      </c>
      <c r="M43" s="89">
        <f t="shared" si="0"/>
        <v>36694612</v>
      </c>
      <c r="N43" s="90"/>
      <c r="O43" s="90">
        <f>ROUND(VLOOKUP(A43,'Contribution Allocation_Report'!$A$9:$D$310,4,FALSE)*'OPEB Amounts_Report'!$O$323,0)</f>
        <v>-5884683</v>
      </c>
      <c r="P43" s="90">
        <f>INDEX('Change in Proportion Layers'!$X$8:$X$321,MATCH('OPEB Amounts_Report'!A43,'Change in Proportion Layers'!$A$8:$A$321,0))</f>
        <v>-607564</v>
      </c>
      <c r="Q43" s="90">
        <f t="shared" si="2"/>
        <v>-6492247</v>
      </c>
    </row>
    <row r="44" spans="1:17" ht="12" customHeight="1">
      <c r="A44" s="62">
        <v>2150</v>
      </c>
      <c r="B44" s="66" t="s">
        <v>34</v>
      </c>
      <c r="C44" s="70">
        <f>ROUND(VLOOKUP(A44,'Contribution Allocation_Report'!$A$9:$D$310,4,FALSE)*'OPEB Amounts_Report'!$C$323,0)</f>
        <v>2642480</v>
      </c>
      <c r="D44" s="70">
        <f>ROUND(VLOOKUP(A44,'Contribution Allocation_Report'!$A$9:$D$310,4,FALSE)*'OPEB Amounts_Report'!$D$323,0)</f>
        <v>38637</v>
      </c>
      <c r="E44" s="70">
        <f>ROUND(VLOOKUP(A44,'Contribution Allocation_Report'!$A$9:$D$310,4,FALSE)*'OPEB Amounts_Report'!$E$323,0)</f>
        <v>529049</v>
      </c>
      <c r="F44" s="70">
        <f>INDEX('Change in Proportion Layers'!$Z$8:$Z$321,MATCH('OPEB Amounts_Report'!A44,'Change in Proportion Layers'!$A$8:$A$321,0))</f>
        <v>998021</v>
      </c>
      <c r="G44" s="70">
        <f t="shared" si="1"/>
        <v>1565707</v>
      </c>
      <c r="H44" s="70"/>
      <c r="I44" s="70">
        <f>ROUND(VLOOKUP(A44,'Contribution Allocation_Report'!$A$9:$D$310,4,FALSE)*'OPEB Amounts_Report'!$I$323,0)</f>
        <v>421421</v>
      </c>
      <c r="J44" s="70">
        <f>ROUND(VLOOKUP(A44,'Contribution Allocation_Report'!$A$9:$D$310,4,FALSE)*'OPEB Amounts_Report'!$J$323,0)</f>
        <v>75744</v>
      </c>
      <c r="K44" s="70">
        <f>ROUND(VLOOKUP(A44,'Contribution Allocation_Report'!$A$9:$D$310,4,FALSE)*'OPEB Amounts_Report'!$K$323,0)</f>
        <v>955350</v>
      </c>
      <c r="L44" s="296">
        <f>INDEX('Change in Proportion Layers'!$AA$8:$AA$321,MATCH('OPEB Amounts_Report'!A44,'Change in Proportion Layers'!$A$8:$A$321,0))</f>
        <v>0</v>
      </c>
      <c r="M44" s="70">
        <f t="shared" si="0"/>
        <v>1452515</v>
      </c>
      <c r="N44" s="71"/>
      <c r="O44" s="71">
        <f>ROUND(VLOOKUP(A44,'Contribution Allocation_Report'!$A$9:$D$310,4,FALSE)*'OPEB Amounts_Report'!$O$323,0)</f>
        <v>-284573</v>
      </c>
      <c r="P44" s="71">
        <f>INDEX('Change in Proportion Layers'!$X$8:$X$321,MATCH('OPEB Amounts_Report'!A44,'Change in Proportion Layers'!$A$8:$A$321,0))</f>
        <v>218785</v>
      </c>
      <c r="Q44" s="71">
        <f t="shared" si="2"/>
        <v>-65788</v>
      </c>
    </row>
    <row r="45" spans="1:17" ht="12" customHeight="1">
      <c r="A45" s="254">
        <v>2336</v>
      </c>
      <c r="B45" s="255" t="s">
        <v>35</v>
      </c>
      <c r="C45" s="89">
        <f>ROUND(VLOOKUP(A45,'Contribution Allocation_Report'!$A$9:$D$310,4,FALSE)*'OPEB Amounts_Report'!$C$323,0)</f>
        <v>778497</v>
      </c>
      <c r="D45" s="89">
        <f>ROUND(VLOOKUP(A45,'Contribution Allocation_Report'!$A$9:$D$310,4,FALSE)*'OPEB Amounts_Report'!$D$323,0)</f>
        <v>11383</v>
      </c>
      <c r="E45" s="89">
        <f>ROUND(VLOOKUP(A45,'Contribution Allocation_Report'!$A$9:$D$310,4,FALSE)*'OPEB Amounts_Report'!$E$323,0)</f>
        <v>155862</v>
      </c>
      <c r="F45" s="89">
        <f>INDEX('Change in Proportion Layers'!$Z$8:$Z$321,MATCH('OPEB Amounts_Report'!A45,'Change in Proportion Layers'!$A$8:$A$321,0))</f>
        <v>102194</v>
      </c>
      <c r="G45" s="89">
        <f t="shared" si="1"/>
        <v>269439</v>
      </c>
      <c r="H45" s="89"/>
      <c r="I45" s="89">
        <f>ROUND(VLOOKUP(A45,'Contribution Allocation_Report'!$A$9:$D$310,4,FALSE)*'OPEB Amounts_Report'!$I$323,0)</f>
        <v>124154</v>
      </c>
      <c r="J45" s="89">
        <f>ROUND(VLOOKUP(A45,'Contribution Allocation_Report'!$A$9:$D$310,4,FALSE)*'OPEB Amounts_Report'!$J$323,0)</f>
        <v>22315</v>
      </c>
      <c r="K45" s="89">
        <f>ROUND(VLOOKUP(A45,'Contribution Allocation_Report'!$A$9:$D$310,4,FALSE)*'OPEB Amounts_Report'!$K$323,0)</f>
        <v>281454</v>
      </c>
      <c r="L45" s="89">
        <f>INDEX('Change in Proportion Layers'!$AA$8:$AA$321,MATCH('OPEB Amounts_Report'!A45,'Change in Proportion Layers'!$A$8:$A$321,0))</f>
        <v>64936</v>
      </c>
      <c r="M45" s="89">
        <f t="shared" si="0"/>
        <v>492859</v>
      </c>
      <c r="N45" s="90"/>
      <c r="O45" s="90">
        <f>ROUND(VLOOKUP(A45,'Contribution Allocation_Report'!$A$9:$D$310,4,FALSE)*'OPEB Amounts_Report'!$O$323,0)</f>
        <v>-83838</v>
      </c>
      <c r="P45" s="90">
        <f>INDEX('Change in Proportion Layers'!$X$8:$X$321,MATCH('OPEB Amounts_Report'!A45,'Change in Proportion Layers'!$A$8:$A$321,0))</f>
        <v>22072</v>
      </c>
      <c r="Q45" s="90">
        <f t="shared" si="2"/>
        <v>-61766</v>
      </c>
    </row>
    <row r="46" spans="1:17" ht="12" customHeight="1">
      <c r="A46" s="62">
        <v>17126</v>
      </c>
      <c r="B46" s="66" t="s">
        <v>36</v>
      </c>
      <c r="C46" s="70">
        <f>ROUND(VLOOKUP(A46,'Contribution Allocation_Report'!$A$9:$D$310,4,FALSE)*'OPEB Amounts_Report'!$C$323,0)</f>
        <v>2231844</v>
      </c>
      <c r="D46" s="70">
        <f>ROUND(VLOOKUP(A46,'Contribution Allocation_Report'!$A$9:$D$310,4,FALSE)*'OPEB Amounts_Report'!$D$323,0)</f>
        <v>32633</v>
      </c>
      <c r="E46" s="70">
        <f>ROUND(VLOOKUP(A46,'Contribution Allocation_Report'!$A$9:$D$310,4,FALSE)*'OPEB Amounts_Report'!$E$323,0)</f>
        <v>446836</v>
      </c>
      <c r="F46" s="70">
        <f>INDEX('Change in Proportion Layers'!$Z$8:$Z$321,MATCH('OPEB Amounts_Report'!A46,'Change in Proportion Layers'!$A$8:$A$321,0))</f>
        <v>86465</v>
      </c>
      <c r="G46" s="70">
        <f t="shared" si="1"/>
        <v>565934</v>
      </c>
      <c r="H46" s="70"/>
      <c r="I46" s="70">
        <f>ROUND(VLOOKUP(A46,'Contribution Allocation_Report'!$A$9:$D$310,4,FALSE)*'OPEB Amounts_Report'!$I$323,0)</f>
        <v>355933</v>
      </c>
      <c r="J46" s="70">
        <f>ROUND(VLOOKUP(A46,'Contribution Allocation_Report'!$A$9:$D$310,4,FALSE)*'OPEB Amounts_Report'!$J$323,0)</f>
        <v>63974</v>
      </c>
      <c r="K46" s="70">
        <f>ROUND(VLOOKUP(A46,'Contribution Allocation_Report'!$A$9:$D$310,4,FALSE)*'OPEB Amounts_Report'!$K$323,0)</f>
        <v>806891</v>
      </c>
      <c r="L46" s="70">
        <f>INDEX('Change in Proportion Layers'!$AA$8:$AA$321,MATCH('OPEB Amounts_Report'!A46,'Change in Proportion Layers'!$A$8:$A$321,0))</f>
        <v>255864</v>
      </c>
      <c r="M46" s="70">
        <f t="shared" si="0"/>
        <v>1482662</v>
      </c>
      <c r="N46" s="71"/>
      <c r="O46" s="71">
        <f>ROUND(VLOOKUP(A46,'Contribution Allocation_Report'!$A$9:$D$310,4,FALSE)*'OPEB Amounts_Report'!$O$323,0)</f>
        <v>-240351</v>
      </c>
      <c r="P46" s="71">
        <f>INDEX('Change in Proportion Layers'!$X$8:$X$321,MATCH('OPEB Amounts_Report'!A46,'Change in Proportion Layers'!$A$8:$A$321,0))</f>
        <v>-60896</v>
      </c>
      <c r="Q46" s="71">
        <f t="shared" si="2"/>
        <v>-301247</v>
      </c>
    </row>
    <row r="47" spans="1:17" ht="12" customHeight="1">
      <c r="A47" s="254">
        <v>3030</v>
      </c>
      <c r="B47" s="255" t="s">
        <v>37</v>
      </c>
      <c r="C47" s="89">
        <f>ROUND(VLOOKUP(A47,'Contribution Allocation_Report'!$A$9:$D$310,4,FALSE)*'OPEB Amounts_Report'!$C$323,0)</f>
        <v>6993638</v>
      </c>
      <c r="D47" s="89">
        <f>ROUND(VLOOKUP(A47,'Contribution Allocation_Report'!$A$9:$D$310,4,FALSE)*'OPEB Amounts_Report'!$D$323,0)</f>
        <v>102256</v>
      </c>
      <c r="E47" s="89">
        <f>ROUND(VLOOKUP(A47,'Contribution Allocation_Report'!$A$9:$D$310,4,FALSE)*'OPEB Amounts_Report'!$E$323,0)</f>
        <v>1400191</v>
      </c>
      <c r="F47" s="89">
        <f>INDEX('Change in Proportion Layers'!$Z$8:$Z$321,MATCH('OPEB Amounts_Report'!A47,'Change in Proportion Layers'!$A$8:$A$321,0))</f>
        <v>0</v>
      </c>
      <c r="G47" s="89">
        <f t="shared" si="1"/>
        <v>1502447</v>
      </c>
      <c r="H47" s="89"/>
      <c r="I47" s="89">
        <f>ROUND(VLOOKUP(A47,'Contribution Allocation_Report'!$A$9:$D$310,4,FALSE)*'OPEB Amounts_Report'!$I$323,0)</f>
        <v>1115340</v>
      </c>
      <c r="J47" s="89">
        <f>ROUND(VLOOKUP(A47,'Contribution Allocation_Report'!$A$9:$D$310,4,FALSE)*'OPEB Amounts_Report'!$J$323,0)</f>
        <v>200467</v>
      </c>
      <c r="K47" s="89">
        <f>ROUND(VLOOKUP(A47,'Contribution Allocation_Report'!$A$9:$D$310,4,FALSE)*'OPEB Amounts_Report'!$K$323,0)</f>
        <v>2528448</v>
      </c>
      <c r="L47" s="297">
        <f>INDEX('Change in Proportion Layers'!$AA$8:$AA$321,MATCH('OPEB Amounts_Report'!A47,'Change in Proportion Layers'!$A$8:$A$321,0))</f>
        <v>872905</v>
      </c>
      <c r="M47" s="89">
        <f t="shared" si="0"/>
        <v>4717160</v>
      </c>
      <c r="N47" s="90"/>
      <c r="O47" s="90">
        <f>ROUND(VLOOKUP(A47,'Contribution Allocation_Report'!$A$9:$D$310,4,FALSE)*'OPEB Amounts_Report'!$O$323,0)</f>
        <v>-753156</v>
      </c>
      <c r="P47" s="90">
        <f>INDEX('Change in Proportion Layers'!$X$8:$X$321,MATCH('OPEB Amounts_Report'!A47,'Change in Proportion Layers'!$A$8:$A$321,0))</f>
        <v>-230371</v>
      </c>
      <c r="Q47" s="90">
        <f t="shared" si="2"/>
        <v>-983527</v>
      </c>
    </row>
    <row r="48" spans="1:17" ht="12" customHeight="1">
      <c r="A48" s="62">
        <v>2353</v>
      </c>
      <c r="B48" s="66" t="s">
        <v>38</v>
      </c>
      <c r="C48" s="70">
        <f>ROUND(VLOOKUP(A48,'Contribution Allocation_Report'!$A$9:$D$310,4,FALSE)*'OPEB Amounts_Report'!$C$323,0)</f>
        <v>1386553</v>
      </c>
      <c r="D48" s="70">
        <f>ROUND(VLOOKUP(A48,'Contribution Allocation_Report'!$A$9:$D$310,4,FALSE)*'OPEB Amounts_Report'!$D$323,0)</f>
        <v>20273</v>
      </c>
      <c r="E48" s="70">
        <f>ROUND(VLOOKUP(A48,'Contribution Allocation_Report'!$A$9:$D$310,4,FALSE)*'OPEB Amounts_Report'!$E$323,0)</f>
        <v>277601</v>
      </c>
      <c r="F48" s="70">
        <f>INDEX('Change in Proportion Layers'!$Z$8:$Z$321,MATCH('OPEB Amounts_Report'!A48,'Change in Proportion Layers'!$A$8:$A$321,0))</f>
        <v>486063</v>
      </c>
      <c r="G48" s="70">
        <f t="shared" si="1"/>
        <v>783937</v>
      </c>
      <c r="H48" s="70"/>
      <c r="I48" s="70">
        <f>ROUND(VLOOKUP(A48,'Contribution Allocation_Report'!$A$9:$D$310,4,FALSE)*'OPEB Amounts_Report'!$I$323,0)</f>
        <v>221126</v>
      </c>
      <c r="J48" s="70">
        <f>ROUND(VLOOKUP(A48,'Contribution Allocation_Report'!$A$9:$D$310,4,FALSE)*'OPEB Amounts_Report'!$J$323,0)</f>
        <v>39744</v>
      </c>
      <c r="K48" s="70">
        <f>ROUND(VLOOKUP(A48,'Contribution Allocation_Report'!$A$9:$D$310,4,FALSE)*'OPEB Amounts_Report'!$K$323,0)</f>
        <v>501288</v>
      </c>
      <c r="L48" s="296">
        <f>INDEX('Change in Proportion Layers'!$AA$8:$AA$321,MATCH('OPEB Amounts_Report'!A48,'Change in Proportion Layers'!$A$8:$A$321,0))</f>
        <v>363062</v>
      </c>
      <c r="M48" s="70">
        <f t="shared" si="0"/>
        <v>1125220</v>
      </c>
      <c r="N48" s="71"/>
      <c r="O48" s="71">
        <f>ROUND(VLOOKUP(A48,'Contribution Allocation_Report'!$A$9:$D$310,4,FALSE)*'OPEB Amounts_Report'!$O$323,0)</f>
        <v>-149320</v>
      </c>
      <c r="P48" s="71">
        <f>INDEX('Change in Proportion Layers'!$X$8:$X$321,MATCH('OPEB Amounts_Report'!A48,'Change in Proportion Layers'!$A$8:$A$321,0))</f>
        <v>138388</v>
      </c>
      <c r="Q48" s="71">
        <f t="shared" si="2"/>
        <v>-10932</v>
      </c>
    </row>
    <row r="49" spans="1:17" ht="12" customHeight="1">
      <c r="A49" s="254">
        <v>3040</v>
      </c>
      <c r="B49" s="255" t="s">
        <v>39</v>
      </c>
      <c r="C49" s="89">
        <f>ROUND(VLOOKUP(A49,'Contribution Allocation_Report'!$A$9:$D$310,4,FALSE)*'OPEB Amounts_Report'!$C$323,0)</f>
        <v>2456575</v>
      </c>
      <c r="D49" s="89">
        <f>ROUND(VLOOKUP(A49,'Contribution Allocation_Report'!$A$9:$D$310,4,FALSE)*'OPEB Amounts_Report'!$D$323,0)</f>
        <v>35918</v>
      </c>
      <c r="E49" s="89">
        <f>ROUND(VLOOKUP(A49,'Contribution Allocation_Report'!$A$9:$D$310,4,FALSE)*'OPEB Amounts_Report'!$E$323,0)</f>
        <v>491829</v>
      </c>
      <c r="F49" s="89">
        <f>INDEX('Change in Proportion Layers'!$Z$8:$Z$321,MATCH('OPEB Amounts_Report'!A49,'Change in Proportion Layers'!$A$8:$A$321,0))</f>
        <v>0</v>
      </c>
      <c r="G49" s="89">
        <f t="shared" si="1"/>
        <v>527747</v>
      </c>
      <c r="H49" s="89"/>
      <c r="I49" s="89">
        <f>ROUND(VLOOKUP(A49,'Contribution Allocation_Report'!$A$9:$D$310,4,FALSE)*'OPEB Amounts_Report'!$I$323,0)</f>
        <v>391773</v>
      </c>
      <c r="J49" s="89">
        <f>ROUND(VLOOKUP(A49,'Contribution Allocation_Report'!$A$9:$D$310,4,FALSE)*'OPEB Amounts_Report'!$J$323,0)</f>
        <v>70416</v>
      </c>
      <c r="K49" s="89">
        <f>ROUND(VLOOKUP(A49,'Contribution Allocation_Report'!$A$9:$D$310,4,FALSE)*'OPEB Amounts_Report'!$K$323,0)</f>
        <v>888139</v>
      </c>
      <c r="L49" s="89">
        <f>INDEX('Change in Proportion Layers'!$AA$8:$AA$321,MATCH('OPEB Amounts_Report'!A49,'Change in Proportion Layers'!$A$8:$A$321,0))</f>
        <v>977511</v>
      </c>
      <c r="M49" s="89">
        <f t="shared" si="0"/>
        <v>2327839</v>
      </c>
      <c r="N49" s="90"/>
      <c r="O49" s="90">
        <f>ROUND(VLOOKUP(A49,'Contribution Allocation_Report'!$A$9:$D$310,4,FALSE)*'OPEB Amounts_Report'!$O$323,0)</f>
        <v>-264553</v>
      </c>
      <c r="P49" s="90">
        <f>INDEX('Change in Proportion Layers'!$X$8:$X$321,MATCH('OPEB Amounts_Report'!A49,'Change in Proportion Layers'!$A$8:$A$321,0))</f>
        <v>-443950</v>
      </c>
      <c r="Q49" s="90">
        <f t="shared" si="2"/>
        <v>-708503</v>
      </c>
    </row>
    <row r="50" spans="1:17" ht="12" customHeight="1">
      <c r="A50" s="62">
        <v>2367</v>
      </c>
      <c r="B50" s="66" t="s">
        <v>40</v>
      </c>
      <c r="C50" s="70">
        <f>ROUND(VLOOKUP(A50,'Contribution Allocation_Report'!$A$9:$D$310,4,FALSE)*'OPEB Amounts_Report'!$C$323,0)</f>
        <v>1667549</v>
      </c>
      <c r="D50" s="70">
        <f>ROUND(VLOOKUP(A50,'Contribution Allocation_Report'!$A$9:$D$310,4,FALSE)*'OPEB Amounts_Report'!$D$323,0)</f>
        <v>24382</v>
      </c>
      <c r="E50" s="70">
        <f>ROUND(VLOOKUP(A50,'Contribution Allocation_Report'!$A$9:$D$310,4,FALSE)*'OPEB Amounts_Report'!$E$323,0)</f>
        <v>333859</v>
      </c>
      <c r="F50" s="70">
        <f>INDEX('Change in Proportion Layers'!$Z$8:$Z$321,MATCH('OPEB Amounts_Report'!A50,'Change in Proportion Layers'!$A$8:$A$321,0))</f>
        <v>246512</v>
      </c>
      <c r="G50" s="70">
        <f t="shared" si="1"/>
        <v>604753</v>
      </c>
      <c r="H50" s="70"/>
      <c r="I50" s="70">
        <f>ROUND(VLOOKUP(A50,'Contribution Allocation_Report'!$A$9:$D$310,4,FALSE)*'OPEB Amounts_Report'!$I$323,0)</f>
        <v>265939</v>
      </c>
      <c r="J50" s="70">
        <f>ROUND(VLOOKUP(A50,'Contribution Allocation_Report'!$A$9:$D$310,4,FALSE)*'OPEB Amounts_Report'!$J$323,0)</f>
        <v>47799</v>
      </c>
      <c r="K50" s="70">
        <f>ROUND(VLOOKUP(A50,'Contribution Allocation_Report'!$A$9:$D$310,4,FALSE)*'OPEB Amounts_Report'!$K$323,0)</f>
        <v>602878</v>
      </c>
      <c r="L50" s="70">
        <f>INDEX('Change in Proportion Layers'!$AA$8:$AA$321,MATCH('OPEB Amounts_Report'!A50,'Change in Proportion Layers'!$A$8:$A$321,0))</f>
        <v>84215</v>
      </c>
      <c r="M50" s="70">
        <f t="shared" si="0"/>
        <v>1000831</v>
      </c>
      <c r="N50" s="71"/>
      <c r="O50" s="71">
        <f>ROUND(VLOOKUP(A50,'Contribution Allocation_Report'!$A$9:$D$310,4,FALSE)*'OPEB Amounts_Report'!$O$323,0)</f>
        <v>-179581</v>
      </c>
      <c r="P50" s="71">
        <f>INDEX('Change in Proportion Layers'!$X$8:$X$321,MATCH('OPEB Amounts_Report'!A50,'Change in Proportion Layers'!$A$8:$A$321,0))</f>
        <v>24376</v>
      </c>
      <c r="Q50" s="71">
        <f t="shared" si="2"/>
        <v>-155205</v>
      </c>
    </row>
    <row r="51" spans="1:17" ht="12" customHeight="1">
      <c r="A51" s="254">
        <v>9027</v>
      </c>
      <c r="B51" s="255" t="s">
        <v>41</v>
      </c>
      <c r="C51" s="89">
        <f>ROUND(VLOOKUP(A51,'Contribution Allocation_Report'!$A$9:$D$310,4,FALSE)*'OPEB Amounts_Report'!$C$323,0)</f>
        <v>2443414</v>
      </c>
      <c r="D51" s="89">
        <f>ROUND(VLOOKUP(A51,'Contribution Allocation_Report'!$A$9:$D$310,4,FALSE)*'OPEB Amounts_Report'!$D$323,0)</f>
        <v>35726</v>
      </c>
      <c r="E51" s="89">
        <f>ROUND(VLOOKUP(A51,'Contribution Allocation_Report'!$A$9:$D$310,4,FALSE)*'OPEB Amounts_Report'!$E$323,0)</f>
        <v>489194</v>
      </c>
      <c r="F51" s="89">
        <f>INDEX('Change in Proportion Layers'!$Z$8:$Z$321,MATCH('OPEB Amounts_Report'!A51,'Change in Proportion Layers'!$A$8:$A$321,0))</f>
        <v>585544</v>
      </c>
      <c r="G51" s="89">
        <f t="shared" si="1"/>
        <v>1110464</v>
      </c>
      <c r="H51" s="89"/>
      <c r="I51" s="89">
        <f>ROUND(VLOOKUP(A51,'Contribution Allocation_Report'!$A$9:$D$310,4,FALSE)*'OPEB Amounts_Report'!$I$323,0)</f>
        <v>389674</v>
      </c>
      <c r="J51" s="89">
        <f>ROUND(VLOOKUP(A51,'Contribution Allocation_Report'!$A$9:$D$310,4,FALSE)*'OPEB Amounts_Report'!$J$323,0)</f>
        <v>70038</v>
      </c>
      <c r="K51" s="89">
        <f>ROUND(VLOOKUP(A51,'Contribution Allocation_Report'!$A$9:$D$310,4,FALSE)*'OPEB Amounts_Report'!$K$323,0)</f>
        <v>883381</v>
      </c>
      <c r="L51" s="89">
        <f>INDEX('Change in Proportion Layers'!$AA$8:$AA$321,MATCH('OPEB Amounts_Report'!A51,'Change in Proportion Layers'!$A$8:$A$321,0))</f>
        <v>235813</v>
      </c>
      <c r="M51" s="89">
        <f t="shared" si="0"/>
        <v>1578906</v>
      </c>
      <c r="N51" s="90"/>
      <c r="O51" s="90">
        <f>ROUND(VLOOKUP(A51,'Contribution Allocation_Report'!$A$9:$D$310,4,FALSE)*'OPEB Amounts_Report'!$O$323,0)</f>
        <v>-263135</v>
      </c>
      <c r="P51" s="90">
        <f>INDEX('Change in Proportion Layers'!$X$8:$X$321,MATCH('OPEB Amounts_Report'!A51,'Change in Proportion Layers'!$A$8:$A$321,0))</f>
        <v>106371</v>
      </c>
      <c r="Q51" s="90">
        <f t="shared" si="2"/>
        <v>-156764</v>
      </c>
    </row>
    <row r="52" spans="1:17" ht="12" customHeight="1">
      <c r="A52" s="62">
        <v>2010</v>
      </c>
      <c r="B52" s="66" t="s">
        <v>42</v>
      </c>
      <c r="C52" s="70">
        <f>ROUND(VLOOKUP(A52,'Contribution Allocation_Report'!$A$9:$D$310,4,FALSE)*'OPEB Amounts_Report'!$C$323,0)</f>
        <v>8810241</v>
      </c>
      <c r="D52" s="70">
        <f>ROUND(VLOOKUP(A52,'Contribution Allocation_Report'!$A$9:$D$310,4,FALSE)*'OPEB Amounts_Report'!$D$323,0)</f>
        <v>128817</v>
      </c>
      <c r="E52" s="70">
        <f>ROUND(VLOOKUP(A52,'Contribution Allocation_Report'!$A$9:$D$310,4,FALSE)*'OPEB Amounts_Report'!$E$323,0)</f>
        <v>1763892</v>
      </c>
      <c r="F52" s="70">
        <f>INDEX('Change in Proportion Layers'!$Z$8:$Z$321,MATCH('OPEB Amounts_Report'!A52,'Change in Proportion Layers'!$A$8:$A$321,0))</f>
        <v>478279</v>
      </c>
      <c r="G52" s="70">
        <f t="shared" si="1"/>
        <v>2370988</v>
      </c>
      <c r="H52" s="70"/>
      <c r="I52" s="70">
        <f>ROUND(VLOOKUP(A52,'Contribution Allocation_Report'!$A$9:$D$310,4,FALSE)*'OPEB Amounts_Report'!$I$323,0)</f>
        <v>1405050</v>
      </c>
      <c r="J52" s="70">
        <f>ROUND(VLOOKUP(A52,'Contribution Allocation_Report'!$A$9:$D$310,4,FALSE)*'OPEB Amounts_Report'!$J$323,0)</f>
        <v>252538</v>
      </c>
      <c r="K52" s="70">
        <f>ROUND(VLOOKUP(A52,'Contribution Allocation_Report'!$A$9:$D$310,4,FALSE)*'OPEB Amounts_Report'!$K$323,0)</f>
        <v>3185214</v>
      </c>
      <c r="L52" s="70">
        <f>INDEX('Change in Proportion Layers'!$AA$8:$AA$321,MATCH('OPEB Amounts_Report'!A52,'Change in Proportion Layers'!$A$8:$A$321,0))</f>
        <v>1020602</v>
      </c>
      <c r="M52" s="70">
        <f t="shared" si="0"/>
        <v>5863404</v>
      </c>
      <c r="N52" s="71"/>
      <c r="O52" s="71">
        <f>ROUND(VLOOKUP(A52,'Contribution Allocation_Report'!$A$9:$D$310,4,FALSE)*'OPEB Amounts_Report'!$O$323,0)</f>
        <v>-948789</v>
      </c>
      <c r="P52" s="71">
        <f>INDEX('Change in Proportion Layers'!$X$8:$X$321,MATCH('OPEB Amounts_Report'!A52,'Change in Proportion Layers'!$A$8:$A$321,0))</f>
        <v>-105494</v>
      </c>
      <c r="Q52" s="71">
        <f t="shared" si="2"/>
        <v>-1054283</v>
      </c>
    </row>
    <row r="53" spans="1:17" ht="12" customHeight="1">
      <c r="A53" s="254">
        <v>2020</v>
      </c>
      <c r="B53" s="255" t="s">
        <v>43</v>
      </c>
      <c r="C53" s="89">
        <f>ROUND(VLOOKUP(A53,'Contribution Allocation_Report'!$A$9:$D$310,4,FALSE)*'OPEB Amounts_Report'!$C$323,0)</f>
        <v>227848168</v>
      </c>
      <c r="D53" s="89">
        <f>ROUND(VLOOKUP(A53,'Contribution Allocation_Report'!$A$9:$D$310,4,FALSE)*'OPEB Amounts_Report'!$D$323,0)</f>
        <v>3331441</v>
      </c>
      <c r="E53" s="89">
        <f>ROUND(VLOOKUP(A53,'Contribution Allocation_Report'!$A$9:$D$310,4,FALSE)*'OPEB Amounts_Report'!$E$323,0)</f>
        <v>45617313</v>
      </c>
      <c r="F53" s="89">
        <f>INDEX('Change in Proportion Layers'!$Z$8:$Z$321,MATCH('OPEB Amounts_Report'!A53,'Change in Proportion Layers'!$A$8:$A$321,0))</f>
        <v>2503396</v>
      </c>
      <c r="G53" s="89">
        <f t="shared" si="1"/>
        <v>51452150</v>
      </c>
      <c r="H53" s="89"/>
      <c r="I53" s="89">
        <f>ROUND(VLOOKUP(A53,'Contribution Allocation_Report'!$A$9:$D$310,4,FALSE)*'OPEB Amounts_Report'!$I$323,0)</f>
        <v>36337044</v>
      </c>
      <c r="J53" s="89">
        <f>ROUND(VLOOKUP(A53,'Contribution Allocation_Report'!$A$9:$D$310,4,FALSE)*'OPEB Amounts_Report'!$J$323,0)</f>
        <v>6531075</v>
      </c>
      <c r="K53" s="89">
        <f>ROUND(VLOOKUP(A53,'Contribution Allocation_Report'!$A$9:$D$310,4,FALSE)*'OPEB Amounts_Report'!$K$323,0)</f>
        <v>82375190</v>
      </c>
      <c r="L53" s="297">
        <f>INDEX('Change in Proportion Layers'!$AA$8:$AA$321,MATCH('OPEB Amounts_Report'!A53,'Change in Proportion Layers'!$A$8:$A$321,0))</f>
        <v>7274415</v>
      </c>
      <c r="M53" s="89">
        <f t="shared" si="0"/>
        <v>132517724</v>
      </c>
      <c r="N53" s="90"/>
      <c r="O53" s="90">
        <f>ROUND(VLOOKUP(A53,'Contribution Allocation_Report'!$A$9:$D$310,4,FALSE)*'OPEB Amounts_Report'!$O$323,0)</f>
        <v>-24537341</v>
      </c>
      <c r="P53" s="90">
        <f>INDEX('Change in Proportion Layers'!$X$8:$X$321,MATCH('OPEB Amounts_Report'!A53,'Change in Proportion Layers'!$A$8:$A$321,0))</f>
        <v>-1849857</v>
      </c>
      <c r="Q53" s="90">
        <f t="shared" si="2"/>
        <v>-26387198</v>
      </c>
    </row>
    <row r="54" spans="1:17" ht="12" customHeight="1">
      <c r="A54" s="62">
        <v>2040</v>
      </c>
      <c r="B54" s="66" t="s">
        <v>44</v>
      </c>
      <c r="C54" s="70">
        <f>ROUND(VLOOKUP(A54,'Contribution Allocation_Report'!$A$9:$D$310,4,FALSE)*'OPEB Amounts_Report'!$C$323,0)</f>
        <v>2912289</v>
      </c>
      <c r="D54" s="70">
        <f>ROUND(VLOOKUP(A54,'Contribution Allocation_Report'!$A$9:$D$310,4,FALSE)*'OPEB Amounts_Report'!$D$323,0)</f>
        <v>42581</v>
      </c>
      <c r="E54" s="70">
        <f>ROUND(VLOOKUP(A54,'Contribution Allocation_Report'!$A$9:$D$310,4,FALSE)*'OPEB Amounts_Report'!$E$323,0)</f>
        <v>583067</v>
      </c>
      <c r="F54" s="70">
        <f>INDEX('Change in Proportion Layers'!$Z$8:$Z$321,MATCH('OPEB Amounts_Report'!A54,'Change in Proportion Layers'!$A$8:$A$321,0))</f>
        <v>50970</v>
      </c>
      <c r="G54" s="70">
        <f t="shared" si="1"/>
        <v>676618</v>
      </c>
      <c r="H54" s="70"/>
      <c r="I54" s="70">
        <f>ROUND(VLOOKUP(A54,'Contribution Allocation_Report'!$A$9:$D$310,4,FALSE)*'OPEB Amounts_Report'!$I$323,0)</f>
        <v>464449</v>
      </c>
      <c r="J54" s="70">
        <f>ROUND(VLOOKUP(A54,'Contribution Allocation_Report'!$A$9:$D$310,4,FALSE)*'OPEB Amounts_Report'!$J$323,0)</f>
        <v>83478</v>
      </c>
      <c r="K54" s="70">
        <f>ROUND(VLOOKUP(A54,'Contribution Allocation_Report'!$A$9:$D$310,4,FALSE)*'OPEB Amounts_Report'!$K$323,0)</f>
        <v>1052896</v>
      </c>
      <c r="L54" s="296">
        <f>INDEX('Change in Proportion Layers'!$AA$8:$AA$321,MATCH('OPEB Amounts_Report'!A54,'Change in Proportion Layers'!$A$8:$A$321,0))</f>
        <v>266882</v>
      </c>
      <c r="M54" s="70">
        <f t="shared" si="0"/>
        <v>1867705</v>
      </c>
      <c r="N54" s="71"/>
      <c r="O54" s="71">
        <f>ROUND(VLOOKUP(A54,'Contribution Allocation_Report'!$A$9:$D$310,4,FALSE)*'OPEB Amounts_Report'!$O$323,0)</f>
        <v>-313629</v>
      </c>
      <c r="P54" s="71">
        <f>INDEX('Change in Proportion Layers'!$X$8:$X$321,MATCH('OPEB Amounts_Report'!A54,'Change in Proportion Layers'!$A$8:$A$321,0))</f>
        <v>-56455</v>
      </c>
      <c r="Q54" s="71">
        <f t="shared" si="2"/>
        <v>-370084</v>
      </c>
    </row>
    <row r="55" spans="1:17" ht="12" customHeight="1">
      <c r="A55" s="254">
        <v>2060</v>
      </c>
      <c r="B55" s="255" t="s">
        <v>45</v>
      </c>
      <c r="C55" s="89">
        <f>ROUND(VLOOKUP(A55,'Contribution Allocation_Report'!$A$9:$D$310,4,FALSE)*'OPEB Amounts_Report'!$C$323,0)</f>
        <v>3090955</v>
      </c>
      <c r="D55" s="89">
        <f>ROUND(VLOOKUP(A55,'Contribution Allocation_Report'!$A$9:$D$310,4,FALSE)*'OPEB Amounts_Report'!$D$323,0)</f>
        <v>45194</v>
      </c>
      <c r="E55" s="89">
        <f>ROUND(VLOOKUP(A55,'Contribution Allocation_Report'!$A$9:$D$310,4,FALSE)*'OPEB Amounts_Report'!$E$323,0)</f>
        <v>618838</v>
      </c>
      <c r="F55" s="89">
        <f>INDEX('Change in Proportion Layers'!$Z$8:$Z$321,MATCH('OPEB Amounts_Report'!A55,'Change in Proportion Layers'!$A$8:$A$321,0))</f>
        <v>721998</v>
      </c>
      <c r="G55" s="89">
        <f t="shared" si="1"/>
        <v>1386030</v>
      </c>
      <c r="H55" s="89"/>
      <c r="I55" s="89">
        <f>ROUND(VLOOKUP(A55,'Contribution Allocation_Report'!$A$9:$D$310,4,FALSE)*'OPEB Amounts_Report'!$I$323,0)</f>
        <v>492943</v>
      </c>
      <c r="J55" s="89">
        <f>ROUND(VLOOKUP(A55,'Contribution Allocation_Report'!$A$9:$D$310,4,FALSE)*'OPEB Amounts_Report'!$J$323,0)</f>
        <v>88600</v>
      </c>
      <c r="K55" s="89">
        <f>ROUND(VLOOKUP(A55,'Contribution Allocation_Report'!$A$9:$D$310,4,FALSE)*'OPEB Amounts_Report'!$K$323,0)</f>
        <v>1117490</v>
      </c>
      <c r="L55" s="297">
        <f>INDEX('Change in Proportion Layers'!$AA$8:$AA$321,MATCH('OPEB Amounts_Report'!A55,'Change in Proportion Layers'!$A$8:$A$321,0))</f>
        <v>291953</v>
      </c>
      <c r="M55" s="89">
        <f t="shared" si="0"/>
        <v>1990986</v>
      </c>
      <c r="N55" s="90"/>
      <c r="O55" s="90">
        <f>ROUND(VLOOKUP(A55,'Contribution Allocation_Report'!$A$9:$D$310,4,FALSE)*'OPEB Amounts_Report'!$O$323,0)</f>
        <v>-332870</v>
      </c>
      <c r="P55" s="90">
        <f>INDEX('Change in Proportion Layers'!$X$8:$X$321,MATCH('OPEB Amounts_Report'!A55,'Change in Proportion Layers'!$A$8:$A$321,0))</f>
        <v>67897</v>
      </c>
      <c r="Q55" s="90">
        <f t="shared" si="2"/>
        <v>-264973</v>
      </c>
    </row>
    <row r="56" spans="1:17" ht="12" customHeight="1">
      <c r="A56" s="62">
        <v>2090</v>
      </c>
      <c r="B56" s="66" t="s">
        <v>46</v>
      </c>
      <c r="C56" s="70">
        <f>ROUND(VLOOKUP(A56,'Contribution Allocation_Report'!$A$9:$D$310,4,FALSE)*'OPEB Amounts_Report'!$C$323,0)</f>
        <v>2387149</v>
      </c>
      <c r="D56" s="70">
        <f>ROUND(VLOOKUP(A56,'Contribution Allocation_Report'!$A$9:$D$310,4,FALSE)*'OPEB Amounts_Report'!$D$323,0)</f>
        <v>34903</v>
      </c>
      <c r="E56" s="70">
        <f>ROUND(VLOOKUP(A56,'Contribution Allocation_Report'!$A$9:$D$310,4,FALSE)*'OPEB Amounts_Report'!$E$323,0)</f>
        <v>477929</v>
      </c>
      <c r="F56" s="70">
        <f>INDEX('Change in Proportion Layers'!$Z$8:$Z$321,MATCH('OPEB Amounts_Report'!A56,'Change in Proportion Layers'!$A$8:$A$321,0))</f>
        <v>0</v>
      </c>
      <c r="G56" s="70">
        <f t="shared" si="1"/>
        <v>512832</v>
      </c>
      <c r="H56" s="70"/>
      <c r="I56" s="70">
        <f>ROUND(VLOOKUP(A56,'Contribution Allocation_Report'!$A$9:$D$310,4,FALSE)*'OPEB Amounts_Report'!$I$323,0)</f>
        <v>380701</v>
      </c>
      <c r="J56" s="70">
        <f>ROUND(VLOOKUP(A56,'Contribution Allocation_Report'!$A$9:$D$310,4,FALSE)*'OPEB Amounts_Report'!$J$323,0)</f>
        <v>68426</v>
      </c>
      <c r="K56" s="70">
        <f>ROUND(VLOOKUP(A56,'Contribution Allocation_Report'!$A$9:$D$310,4,FALSE)*'OPEB Amounts_Report'!$K$323,0)</f>
        <v>863039</v>
      </c>
      <c r="L56" s="296">
        <f>INDEX('Change in Proportion Layers'!$AA$8:$AA$321,MATCH('OPEB Amounts_Report'!A56,'Change in Proportion Layers'!$A$8:$A$321,0))</f>
        <v>887726</v>
      </c>
      <c r="M56" s="70">
        <f t="shared" si="0"/>
        <v>2199892</v>
      </c>
      <c r="N56" s="71"/>
      <c r="O56" s="71">
        <f>ROUND(VLOOKUP(A56,'Contribution Allocation_Report'!$A$9:$D$310,4,FALSE)*'OPEB Amounts_Report'!$O$323,0)</f>
        <v>-257076</v>
      </c>
      <c r="P56" s="71">
        <f>INDEX('Change in Proportion Layers'!$X$8:$X$321,MATCH('OPEB Amounts_Report'!A56,'Change in Proportion Layers'!$A$8:$A$321,0))</f>
        <v>-382698</v>
      </c>
      <c r="Q56" s="71">
        <f t="shared" si="2"/>
        <v>-639774</v>
      </c>
    </row>
    <row r="57" spans="1:17" ht="12" customHeight="1">
      <c r="A57" s="254">
        <v>2110</v>
      </c>
      <c r="B57" s="255" t="s">
        <v>47</v>
      </c>
      <c r="C57" s="89">
        <f>ROUND(VLOOKUP(A57,'Contribution Allocation_Report'!$A$9:$D$310,4,FALSE)*'OPEB Amounts_Report'!$C$323,0)</f>
        <v>20337323</v>
      </c>
      <c r="D57" s="89">
        <f>ROUND(VLOOKUP(A57,'Contribution Allocation_Report'!$A$9:$D$310,4,FALSE)*'OPEB Amounts_Report'!$D$323,0)</f>
        <v>297358</v>
      </c>
      <c r="E57" s="89">
        <f>ROUND(VLOOKUP(A57,'Contribution Allocation_Report'!$A$9:$D$310,4,FALSE)*'OPEB Amounts_Report'!$E$323,0)</f>
        <v>4071720</v>
      </c>
      <c r="F57" s="89">
        <f>INDEX('Change in Proportion Layers'!$Z$8:$Z$321,MATCH('OPEB Amounts_Report'!A57,'Change in Proportion Layers'!$A$8:$A$321,0))</f>
        <v>456869</v>
      </c>
      <c r="G57" s="89">
        <f t="shared" si="1"/>
        <v>4825947</v>
      </c>
      <c r="H57" s="89"/>
      <c r="I57" s="89">
        <f>ROUND(VLOOKUP(A57,'Contribution Allocation_Report'!$A$9:$D$310,4,FALSE)*'OPEB Amounts_Report'!$I$323,0)</f>
        <v>3243380</v>
      </c>
      <c r="J57" s="89">
        <f>ROUND(VLOOKUP(A57,'Contribution Allocation_Report'!$A$9:$D$310,4,FALSE)*'OPEB Amounts_Report'!$J$323,0)</f>
        <v>582952</v>
      </c>
      <c r="K57" s="89">
        <f>ROUND(VLOOKUP(A57,'Contribution Allocation_Report'!$A$9:$D$310,4,FALSE)*'OPEB Amounts_Report'!$K$323,0)</f>
        <v>7352663</v>
      </c>
      <c r="L57" s="297">
        <f>INDEX('Change in Proportion Layers'!$AA$8:$AA$321,MATCH('OPEB Amounts_Report'!A57,'Change in Proportion Layers'!$A$8:$A$321,0))</f>
        <v>937579</v>
      </c>
      <c r="M57" s="89">
        <f t="shared" si="0"/>
        <v>12116574</v>
      </c>
      <c r="N57" s="90"/>
      <c r="O57" s="90">
        <f>ROUND(VLOOKUP(A57,'Contribution Allocation_Report'!$A$9:$D$310,4,FALSE)*'OPEB Amounts_Report'!$O$323,0)</f>
        <v>-2190160</v>
      </c>
      <c r="P57" s="90">
        <f>INDEX('Change in Proportion Layers'!$X$8:$X$321,MATCH('OPEB Amounts_Report'!A57,'Change in Proportion Layers'!$A$8:$A$321,0))</f>
        <v>-13038</v>
      </c>
      <c r="Q57" s="90">
        <f t="shared" si="2"/>
        <v>-2203198</v>
      </c>
    </row>
    <row r="58" spans="1:17" ht="12" customHeight="1">
      <c r="A58" s="62">
        <v>2180</v>
      </c>
      <c r="B58" s="63" t="s">
        <v>48</v>
      </c>
      <c r="C58" s="171">
        <f>ROUND(VLOOKUP(A58,'Contribution Allocation_Report'!$A$9:$D$310,4,FALSE)*'OPEB Amounts_Report'!$C$323,0)</f>
        <v>9460085</v>
      </c>
      <c r="D58" s="171">
        <f>ROUND(VLOOKUP(A58,'Contribution Allocation_Report'!$A$9:$D$310,4,FALSE)*'OPEB Amounts_Report'!$D$323,0)</f>
        <v>138319</v>
      </c>
      <c r="E58" s="171">
        <f>ROUND(VLOOKUP(A58,'Contribution Allocation_Report'!$A$9:$D$310,4,FALSE)*'OPEB Amounts_Report'!$E$323,0)</f>
        <v>1893997</v>
      </c>
      <c r="F58" s="171">
        <f>INDEX('Change in Proportion Layers'!$Z$8:$Z$321,MATCH('OPEB Amounts_Report'!A58,'Change in Proportion Layers'!$A$8:$A$321,0))</f>
        <v>288150</v>
      </c>
      <c r="G58" s="171">
        <f t="shared" si="1"/>
        <v>2320466</v>
      </c>
      <c r="H58" s="171"/>
      <c r="I58" s="171">
        <f>ROUND(VLOOKUP(A58,'Contribution Allocation_Report'!$A$9:$D$310,4,FALSE)*'OPEB Amounts_Report'!$I$323,0)</f>
        <v>1508687</v>
      </c>
      <c r="J58" s="171">
        <f>ROUND(VLOOKUP(A58,'Contribution Allocation_Report'!$A$9:$D$310,4,FALSE)*'OPEB Amounts_Report'!$J$323,0)</f>
        <v>271165</v>
      </c>
      <c r="K58" s="171">
        <f>ROUND(VLOOKUP(A58,'Contribution Allocation_Report'!$A$9:$D$310,4,FALSE)*'OPEB Amounts_Report'!$K$323,0)</f>
        <v>3420156</v>
      </c>
      <c r="L58" s="173">
        <f>INDEX('Change in Proportion Layers'!$AA$8:$AA$321,MATCH('OPEB Amounts_Report'!A58,'Change in Proportion Layers'!$A$8:$A$321,0))</f>
        <v>920221</v>
      </c>
      <c r="M58" s="171">
        <f t="shared" si="0"/>
        <v>6120229</v>
      </c>
      <c r="N58" s="172"/>
      <c r="O58" s="172">
        <f>ROUND(VLOOKUP(A58,'Contribution Allocation_Report'!$A$9:$D$310,4,FALSE)*'OPEB Amounts_Report'!$O$323,0)</f>
        <v>-1018772</v>
      </c>
      <c r="P58" s="172">
        <f>INDEX('Change in Proportion Layers'!$X$8:$X$321,MATCH('OPEB Amounts_Report'!A58,'Change in Proportion Layers'!$A$8:$A$321,0))</f>
        <v>-147527</v>
      </c>
      <c r="Q58" s="172">
        <f t="shared" si="2"/>
        <v>-1166299</v>
      </c>
    </row>
    <row r="59" spans="1:17" ht="12" customHeight="1">
      <c r="A59" s="254">
        <v>2210</v>
      </c>
      <c r="B59" s="255" t="s">
        <v>49</v>
      </c>
      <c r="C59" s="89">
        <f>ROUND(VLOOKUP(A59,'Contribution Allocation_Report'!$A$9:$D$310,4,FALSE)*'OPEB Amounts_Report'!$C$323,0)</f>
        <v>4500211</v>
      </c>
      <c r="D59" s="89">
        <f>ROUND(VLOOKUP(A59,'Contribution Allocation_Report'!$A$9:$D$310,4,FALSE)*'OPEB Amounts_Report'!$D$323,0)</f>
        <v>65799</v>
      </c>
      <c r="E59" s="89">
        <f>ROUND(VLOOKUP(A59,'Contribution Allocation_Report'!$A$9:$D$310,4,FALSE)*'OPEB Amounts_Report'!$E$323,0)</f>
        <v>900984</v>
      </c>
      <c r="F59" s="89">
        <f>INDEX('Change in Proportion Layers'!$Z$8:$Z$321,MATCH('OPEB Amounts_Report'!A59,'Change in Proportion Layers'!$A$8:$A$321,0))</f>
        <v>42349</v>
      </c>
      <c r="G59" s="89">
        <f t="shared" si="1"/>
        <v>1009132</v>
      </c>
      <c r="H59" s="89"/>
      <c r="I59" s="89">
        <f>ROUND(VLOOKUP(A59,'Contribution Allocation_Report'!$A$9:$D$310,4,FALSE)*'OPEB Amounts_Report'!$I$323,0)</f>
        <v>717690</v>
      </c>
      <c r="J59" s="89">
        <f>ROUND(VLOOKUP(A59,'Contribution Allocation_Report'!$A$9:$D$310,4,FALSE)*'OPEB Amounts_Report'!$J$323,0)</f>
        <v>128995</v>
      </c>
      <c r="K59" s="89">
        <f>ROUND(VLOOKUP(A59,'Contribution Allocation_Report'!$A$9:$D$310,4,FALSE)*'OPEB Amounts_Report'!$K$323,0)</f>
        <v>1626986</v>
      </c>
      <c r="L59" s="89">
        <f>INDEX('Change in Proportion Layers'!$AA$8:$AA$321,MATCH('OPEB Amounts_Report'!A59,'Change in Proportion Layers'!$A$8:$A$321,0))</f>
        <v>491166</v>
      </c>
      <c r="M59" s="89">
        <f t="shared" si="0"/>
        <v>2964837</v>
      </c>
      <c r="N59" s="90"/>
      <c r="O59" s="90">
        <f>ROUND(VLOOKUP(A59,'Contribution Allocation_Report'!$A$9:$D$310,4,FALSE)*'OPEB Amounts_Report'!$O$323,0)</f>
        <v>-484635</v>
      </c>
      <c r="P59" s="90">
        <f>INDEX('Change in Proportion Layers'!$X$8:$X$321,MATCH('OPEB Amounts_Report'!A59,'Change in Proportion Layers'!$A$8:$A$321,0))</f>
        <v>-152822</v>
      </c>
      <c r="Q59" s="90">
        <f t="shared" si="2"/>
        <v>-637457</v>
      </c>
    </row>
    <row r="60" spans="1:17" ht="12" customHeight="1">
      <c r="A60" s="62">
        <v>2290</v>
      </c>
      <c r="B60" s="66" t="s">
        <v>50</v>
      </c>
      <c r="C60" s="70">
        <f>ROUND(VLOOKUP(A60,'Contribution Allocation_Report'!$A$9:$D$310,4,FALSE)*'OPEB Amounts_Report'!$C$323,0)</f>
        <v>4422559</v>
      </c>
      <c r="D60" s="70">
        <f>ROUND(VLOOKUP(A60,'Contribution Allocation_Report'!$A$9:$D$310,4,FALSE)*'OPEB Amounts_Report'!$D$323,0)</f>
        <v>64664</v>
      </c>
      <c r="E60" s="70">
        <f>ROUND(VLOOKUP(A60,'Contribution Allocation_Report'!$A$9:$D$310,4,FALSE)*'OPEB Amounts_Report'!$E$323,0)</f>
        <v>885437</v>
      </c>
      <c r="F60" s="70">
        <f>INDEX('Change in Proportion Layers'!$Z$8:$Z$321,MATCH('OPEB Amounts_Report'!A60,'Change in Proportion Layers'!$A$8:$A$321,0))</f>
        <v>244459</v>
      </c>
      <c r="G60" s="70">
        <f t="shared" si="1"/>
        <v>1194560</v>
      </c>
      <c r="H60" s="70"/>
      <c r="I60" s="70">
        <f>ROUND(VLOOKUP(A60,'Contribution Allocation_Report'!$A$9:$D$310,4,FALSE)*'OPEB Amounts_Report'!$I$323,0)</f>
        <v>705306</v>
      </c>
      <c r="J60" s="70">
        <f>ROUND(VLOOKUP(A60,'Contribution Allocation_Report'!$A$9:$D$310,4,FALSE)*'OPEB Amounts_Report'!$J$323,0)</f>
        <v>126769</v>
      </c>
      <c r="K60" s="70">
        <f>ROUND(VLOOKUP(A60,'Contribution Allocation_Report'!$A$9:$D$310,4,FALSE)*'OPEB Amounts_Report'!$K$323,0)</f>
        <v>1598912</v>
      </c>
      <c r="L60" s="70">
        <f>INDEX('Change in Proportion Layers'!$AA$8:$AA$321,MATCH('OPEB Amounts_Report'!A60,'Change in Proportion Layers'!$A$8:$A$321,0))</f>
        <v>223886</v>
      </c>
      <c r="M60" s="70">
        <f t="shared" si="0"/>
        <v>2654873</v>
      </c>
      <c r="N60" s="71"/>
      <c r="O60" s="71">
        <f>ROUND(VLOOKUP(A60,'Contribution Allocation_Report'!$A$9:$D$310,4,FALSE)*'OPEB Amounts_Report'!$O$323,0)</f>
        <v>-476273</v>
      </c>
      <c r="P60" s="71">
        <f>INDEX('Change in Proportion Layers'!$X$8:$X$321,MATCH('OPEB Amounts_Report'!A60,'Change in Proportion Layers'!$A$8:$A$321,0))</f>
        <v>1397</v>
      </c>
      <c r="Q60" s="71">
        <f t="shared" si="2"/>
        <v>-474876</v>
      </c>
    </row>
    <row r="61" spans="1:17" ht="12" customHeight="1">
      <c r="A61" s="254">
        <v>2310</v>
      </c>
      <c r="B61" s="255" t="s">
        <v>51</v>
      </c>
      <c r="C61" s="89">
        <f>ROUND(VLOOKUP(A61,'Contribution Allocation_Report'!$A$9:$D$310,4,FALSE)*'OPEB Amounts_Report'!$C$323,0)</f>
        <v>31053992</v>
      </c>
      <c r="D61" s="89">
        <f>ROUND(VLOOKUP(A61,'Contribution Allocation_Report'!$A$9:$D$310,4,FALSE)*'OPEB Amounts_Report'!$D$323,0)</f>
        <v>454050</v>
      </c>
      <c r="E61" s="89">
        <f>ROUND(VLOOKUP(A61,'Contribution Allocation_Report'!$A$9:$D$310,4,FALSE)*'OPEB Amounts_Report'!$E$323,0)</f>
        <v>6217297</v>
      </c>
      <c r="F61" s="89">
        <f>INDEX('Change in Proportion Layers'!$Z$8:$Z$321,MATCH('OPEB Amounts_Report'!A61,'Change in Proportion Layers'!$A$8:$A$321,0))</f>
        <v>2310046</v>
      </c>
      <c r="G61" s="89">
        <f t="shared" si="1"/>
        <v>8981393</v>
      </c>
      <c r="H61" s="89"/>
      <c r="I61" s="89">
        <f>ROUND(VLOOKUP(A61,'Contribution Allocation_Report'!$A$9:$D$310,4,FALSE)*'OPEB Amounts_Report'!$I$323,0)</f>
        <v>4952466</v>
      </c>
      <c r="J61" s="89">
        <f>ROUND(VLOOKUP(A61,'Contribution Allocation_Report'!$A$9:$D$310,4,FALSE)*'OPEB Amounts_Report'!$J$323,0)</f>
        <v>890136</v>
      </c>
      <c r="K61" s="89">
        <f>ROUND(VLOOKUP(A61,'Contribution Allocation_Report'!$A$9:$D$310,4,FALSE)*'OPEB Amounts_Report'!$K$323,0)</f>
        <v>11227119</v>
      </c>
      <c r="L61" s="89">
        <f>INDEX('Change in Proportion Layers'!$AA$8:$AA$321,MATCH('OPEB Amounts_Report'!A61,'Change in Proportion Layers'!$A$8:$A$321,0))</f>
        <v>6463234</v>
      </c>
      <c r="M61" s="89">
        <f t="shared" si="0"/>
        <v>23532955</v>
      </c>
      <c r="N61" s="90"/>
      <c r="O61" s="90">
        <f>ROUND(VLOOKUP(A61,'Contribution Allocation_Report'!$A$9:$D$310,4,FALSE)*'OPEB Amounts_Report'!$O$323,0)</f>
        <v>-3344255</v>
      </c>
      <c r="P61" s="90">
        <f>INDEX('Change in Proportion Layers'!$X$8:$X$321,MATCH('OPEB Amounts_Report'!A61,'Change in Proportion Layers'!$A$8:$A$321,0))</f>
        <v>-1095096</v>
      </c>
      <c r="Q61" s="90">
        <f t="shared" si="2"/>
        <v>-4439351</v>
      </c>
    </row>
    <row r="62" spans="1:17" ht="12" customHeight="1">
      <c r="A62" s="62">
        <v>2330</v>
      </c>
      <c r="B62" s="66" t="s">
        <v>52</v>
      </c>
      <c r="C62" s="70">
        <f>ROUND(VLOOKUP(A62,'Contribution Allocation_Report'!$A$9:$D$310,4,FALSE)*'OPEB Amounts_Report'!$C$323,0)</f>
        <v>10431396</v>
      </c>
      <c r="D62" s="70">
        <f>ROUND(VLOOKUP(A62,'Contribution Allocation_Report'!$A$9:$D$310,4,FALSE)*'OPEB Amounts_Report'!$D$323,0)</f>
        <v>152521</v>
      </c>
      <c r="E62" s="70">
        <f>ROUND(VLOOKUP(A62,'Contribution Allocation_Report'!$A$9:$D$310,4,FALSE)*'OPEB Amounts_Report'!$E$323,0)</f>
        <v>2088462</v>
      </c>
      <c r="F62" s="70">
        <f>INDEX('Change in Proportion Layers'!$Z$8:$Z$321,MATCH('OPEB Amounts_Report'!A62,'Change in Proportion Layers'!$A$8:$A$321,0))</f>
        <v>995824</v>
      </c>
      <c r="G62" s="70">
        <f t="shared" si="1"/>
        <v>3236807</v>
      </c>
      <c r="H62" s="70"/>
      <c r="I62" s="70">
        <f>ROUND(VLOOKUP(A62,'Contribution Allocation_Report'!$A$9:$D$310,4,FALSE)*'OPEB Amounts_Report'!$I$323,0)</f>
        <v>1663591</v>
      </c>
      <c r="J62" s="70">
        <f>ROUND(VLOOKUP(A62,'Contribution Allocation_Report'!$A$9:$D$310,4,FALSE)*'OPEB Amounts_Report'!$J$323,0)</f>
        <v>299007</v>
      </c>
      <c r="K62" s="70">
        <f>ROUND(VLOOKUP(A62,'Contribution Allocation_Report'!$A$9:$D$310,4,FALSE)*'OPEB Amounts_Report'!$K$323,0)</f>
        <v>3771319</v>
      </c>
      <c r="L62" s="70">
        <f>INDEX('Change in Proportion Layers'!$AA$8:$AA$321,MATCH('OPEB Amounts_Report'!A62,'Change in Proportion Layers'!$A$8:$A$321,0))</f>
        <v>3025442</v>
      </c>
      <c r="M62" s="70">
        <f t="shared" si="0"/>
        <v>8759359</v>
      </c>
      <c r="N62" s="71"/>
      <c r="O62" s="71">
        <f>ROUND(VLOOKUP(A62,'Contribution Allocation_Report'!$A$9:$D$310,4,FALSE)*'OPEB Amounts_Report'!$O$323,0)</f>
        <v>-1123374</v>
      </c>
      <c r="P62" s="71">
        <f>INDEX('Change in Proportion Layers'!$X$8:$X$321,MATCH('OPEB Amounts_Report'!A62,'Change in Proportion Layers'!$A$8:$A$321,0))</f>
        <v>-396219</v>
      </c>
      <c r="Q62" s="71">
        <f t="shared" si="2"/>
        <v>-1519593</v>
      </c>
    </row>
    <row r="63" spans="1:17" ht="12" customHeight="1">
      <c r="A63" s="254">
        <v>2380</v>
      </c>
      <c r="B63" s="255" t="s">
        <v>53</v>
      </c>
      <c r="C63" s="89">
        <f>ROUND(VLOOKUP(A63,'Contribution Allocation_Report'!$A$9:$D$310,4,FALSE)*'OPEB Amounts_Report'!$C$323,0)</f>
        <v>1529355</v>
      </c>
      <c r="D63" s="89">
        <f>ROUND(VLOOKUP(A63,'Contribution Allocation_Report'!$A$9:$D$310,4,FALSE)*'OPEB Amounts_Report'!$D$323,0)</f>
        <v>22361</v>
      </c>
      <c r="E63" s="89">
        <f>ROUND(VLOOKUP(A63,'Contribution Allocation_Report'!$A$9:$D$310,4,FALSE)*'OPEB Amounts_Report'!$E$323,0)</f>
        <v>306191</v>
      </c>
      <c r="F63" s="89">
        <f>INDEX('Change in Proportion Layers'!$Z$8:$Z$321,MATCH('OPEB Amounts_Report'!A63,'Change in Proportion Layers'!$A$8:$A$321,0))</f>
        <v>760142</v>
      </c>
      <c r="G63" s="89">
        <f t="shared" si="1"/>
        <v>1088694</v>
      </c>
      <c r="H63" s="89"/>
      <c r="I63" s="89">
        <f>ROUND(VLOOKUP(A63,'Contribution Allocation_Report'!$A$9:$D$310,4,FALSE)*'OPEB Amounts_Report'!$I$323,0)</f>
        <v>243900</v>
      </c>
      <c r="J63" s="89">
        <f>ROUND(VLOOKUP(A63,'Contribution Allocation_Report'!$A$9:$D$310,4,FALSE)*'OPEB Amounts_Report'!$J$323,0)</f>
        <v>43838</v>
      </c>
      <c r="K63" s="89">
        <f>ROUND(VLOOKUP(A63,'Contribution Allocation_Report'!$A$9:$D$310,4,FALSE)*'OPEB Amounts_Report'!$K$323,0)</f>
        <v>552916</v>
      </c>
      <c r="L63" s="89">
        <f>INDEX('Change in Proportion Layers'!$AA$8:$AA$321,MATCH('OPEB Amounts_Report'!A63,'Change in Proportion Layers'!$A$8:$A$321,0))</f>
        <v>0</v>
      </c>
      <c r="M63" s="89">
        <f t="shared" si="0"/>
        <v>840654</v>
      </c>
      <c r="N63" s="90"/>
      <c r="O63" s="90">
        <f>ROUND(VLOOKUP(A63,'Contribution Allocation_Report'!$A$9:$D$310,4,FALSE)*'OPEB Amounts_Report'!$O$323,0)</f>
        <v>-164699</v>
      </c>
      <c r="P63" s="90">
        <f>INDEX('Change in Proportion Layers'!$X$8:$X$321,MATCH('OPEB Amounts_Report'!A63,'Change in Proportion Layers'!$A$8:$A$321,0))</f>
        <v>208533</v>
      </c>
      <c r="Q63" s="90">
        <f t="shared" si="2"/>
        <v>43834</v>
      </c>
    </row>
    <row r="64" spans="1:17" ht="12" customHeight="1">
      <c r="A64" s="62">
        <v>2400</v>
      </c>
      <c r="B64" s="66" t="s">
        <v>54</v>
      </c>
      <c r="C64" s="70">
        <f>ROUND(VLOOKUP(A64,'Contribution Allocation_Report'!$A$9:$D$310,4,FALSE)*'OPEB Amounts_Report'!$C$323,0)</f>
        <v>52977264</v>
      </c>
      <c r="D64" s="70">
        <f>ROUND(VLOOKUP(A64,'Contribution Allocation_Report'!$A$9:$D$310,4,FALSE)*'OPEB Amounts_Report'!$D$323,0)</f>
        <v>774597</v>
      </c>
      <c r="E64" s="70">
        <f>ROUND(VLOOKUP(A64,'Contribution Allocation_Report'!$A$9:$D$310,4,FALSE)*'OPEB Amounts_Report'!$E$323,0)</f>
        <v>10606539</v>
      </c>
      <c r="F64" s="296">
        <f>INDEX('Change in Proportion Layers'!$Z$8:$Z$321,MATCH('OPEB Amounts_Report'!A64,'Change in Proportion Layers'!$A$8:$A$321,0))</f>
        <v>4186639</v>
      </c>
      <c r="G64" s="70">
        <f t="shared" si="1"/>
        <v>15567775</v>
      </c>
      <c r="H64" s="70"/>
      <c r="I64" s="70">
        <f>ROUND(VLOOKUP(A64,'Contribution Allocation_Report'!$A$9:$D$310,4,FALSE)*'OPEB Amounts_Report'!$I$323,0)</f>
        <v>8448772</v>
      </c>
      <c r="J64" s="70">
        <f>ROUND(VLOOKUP(A64,'Contribution Allocation_Report'!$A$9:$D$310,4,FALSE)*'OPEB Amounts_Report'!$J$323,0)</f>
        <v>1518548</v>
      </c>
      <c r="K64" s="70">
        <f>ROUND(VLOOKUP(A64,'Contribution Allocation_Report'!$A$9:$D$310,4,FALSE)*'OPEB Amounts_Report'!$K$323,0)</f>
        <v>19153159</v>
      </c>
      <c r="L64" s="70">
        <f>INDEX('Change in Proportion Layers'!$AA$8:$AA$321,MATCH('OPEB Amounts_Report'!A64,'Change in Proportion Layers'!$A$8:$A$321,0))</f>
        <v>4882659</v>
      </c>
      <c r="M64" s="70">
        <f t="shared" si="0"/>
        <v>34003138</v>
      </c>
      <c r="N64" s="71"/>
      <c r="O64" s="71">
        <f>ROUND(VLOOKUP(A64,'Contribution Allocation_Report'!$A$9:$D$310,4,FALSE)*'OPEB Amounts_Report'!$O$323,0)</f>
        <v>-5705208</v>
      </c>
      <c r="P64" s="71">
        <f>INDEX('Change in Proportion Layers'!$X$8:$X$321,MATCH('OPEB Amounts_Report'!A64,'Change in Proportion Layers'!$A$8:$A$321,0))</f>
        <v>57824</v>
      </c>
      <c r="Q64" s="71">
        <f t="shared" si="2"/>
        <v>-5647384</v>
      </c>
    </row>
    <row r="65" spans="1:17" ht="12" customHeight="1">
      <c r="A65" s="254">
        <v>2410</v>
      </c>
      <c r="B65" s="255" t="s">
        <v>55</v>
      </c>
      <c r="C65" s="89">
        <f>ROUND(VLOOKUP(A65,'Contribution Allocation_Report'!$A$9:$D$310,4,FALSE)*'OPEB Amounts_Report'!$C$323,0)</f>
        <v>6458957</v>
      </c>
      <c r="D65" s="89">
        <f>ROUND(VLOOKUP(A65,'Contribution Allocation_Report'!$A$9:$D$310,4,FALSE)*'OPEB Amounts_Report'!$D$323,0)</f>
        <v>94438</v>
      </c>
      <c r="E65" s="89">
        <f>ROUND(VLOOKUP(A65,'Contribution Allocation_Report'!$A$9:$D$310,4,FALSE)*'OPEB Amounts_Report'!$E$323,0)</f>
        <v>1293143</v>
      </c>
      <c r="F65" s="89">
        <f>INDEX('Change in Proportion Layers'!$Z$8:$Z$321,MATCH('OPEB Amounts_Report'!A65,'Change in Proportion Layers'!$A$8:$A$321,0))</f>
        <v>583332</v>
      </c>
      <c r="G65" s="89">
        <f t="shared" si="1"/>
        <v>1970913</v>
      </c>
      <c r="H65" s="89"/>
      <c r="I65" s="89">
        <f>ROUND(VLOOKUP(A65,'Contribution Allocation_Report'!$A$9:$D$310,4,FALSE)*'OPEB Amounts_Report'!$I$323,0)</f>
        <v>1030069</v>
      </c>
      <c r="J65" s="89">
        <f>ROUND(VLOOKUP(A65,'Contribution Allocation_Report'!$A$9:$D$310,4,FALSE)*'OPEB Amounts_Report'!$J$323,0)</f>
        <v>185141</v>
      </c>
      <c r="K65" s="89">
        <f>ROUND(VLOOKUP(A65,'Contribution Allocation_Report'!$A$9:$D$310,4,FALSE)*'OPEB Amounts_Report'!$K$323,0)</f>
        <v>2335142</v>
      </c>
      <c r="L65" s="297">
        <f>INDEX('Change in Proportion Layers'!$AA$8:$AA$321,MATCH('OPEB Amounts_Report'!A65,'Change in Proportion Layers'!$A$8:$A$321,0))</f>
        <v>995022</v>
      </c>
      <c r="M65" s="89">
        <f t="shared" si="0"/>
        <v>4545374</v>
      </c>
      <c r="N65" s="90"/>
      <c r="O65" s="90">
        <f>ROUND(VLOOKUP(A65,'Contribution Allocation_Report'!$A$9:$D$310,4,FALSE)*'OPEB Amounts_Report'!$O$323,0)</f>
        <v>-695576</v>
      </c>
      <c r="P65" s="90">
        <f>INDEX('Change in Proportion Layers'!$X$8:$X$321,MATCH('OPEB Amounts_Report'!A65,'Change in Proportion Layers'!$A$8:$A$321,0))</f>
        <v>-246193</v>
      </c>
      <c r="Q65" s="90">
        <f t="shared" si="2"/>
        <v>-941769</v>
      </c>
    </row>
    <row r="66" spans="1:17" ht="12" customHeight="1">
      <c r="A66" s="62">
        <v>2500</v>
      </c>
      <c r="B66" s="66" t="s">
        <v>56</v>
      </c>
      <c r="C66" s="70">
        <f>ROUND(VLOOKUP(A66,'Contribution Allocation_Report'!$A$9:$D$310,4,FALSE)*'OPEB Amounts_Report'!$C$323,0)</f>
        <v>938737</v>
      </c>
      <c r="D66" s="70">
        <f>ROUND(VLOOKUP(A66,'Contribution Allocation_Report'!$A$9:$D$310,4,FALSE)*'OPEB Amounts_Report'!$D$323,0)</f>
        <v>13726</v>
      </c>
      <c r="E66" s="70">
        <f>ROUND(VLOOKUP(A66,'Contribution Allocation_Report'!$A$9:$D$310,4,FALSE)*'OPEB Amounts_Report'!$E$323,0)</f>
        <v>187944</v>
      </c>
      <c r="F66" s="296">
        <f>INDEX('Change in Proportion Layers'!$Z$8:$Z$321,MATCH('OPEB Amounts_Report'!A66,'Change in Proportion Layers'!$A$8:$A$321,0))</f>
        <v>113064</v>
      </c>
      <c r="G66" s="70">
        <f t="shared" si="1"/>
        <v>314734</v>
      </c>
      <c r="H66" s="70"/>
      <c r="I66" s="70">
        <f>ROUND(VLOOKUP(A66,'Contribution Allocation_Report'!$A$9:$D$310,4,FALSE)*'OPEB Amounts_Report'!$I$323,0)</f>
        <v>149709</v>
      </c>
      <c r="J66" s="70">
        <f>ROUND(VLOOKUP(A66,'Contribution Allocation_Report'!$A$9:$D$310,4,FALSE)*'OPEB Amounts_Report'!$J$323,0)</f>
        <v>26908</v>
      </c>
      <c r="K66" s="70">
        <f>ROUND(VLOOKUP(A66,'Contribution Allocation_Report'!$A$9:$D$310,4,FALSE)*'OPEB Amounts_Report'!$K$323,0)</f>
        <v>339387</v>
      </c>
      <c r="L66" s="70">
        <f>INDEX('Change in Proportion Layers'!$AA$8:$AA$321,MATCH('OPEB Amounts_Report'!A66,'Change in Proportion Layers'!$A$8:$A$321,0))</f>
        <v>177107</v>
      </c>
      <c r="M66" s="70">
        <f t="shared" si="0"/>
        <v>693111</v>
      </c>
      <c r="N66" s="71"/>
      <c r="O66" s="71">
        <f>ROUND(VLOOKUP(A66,'Contribution Allocation_Report'!$A$9:$D$310,4,FALSE)*'OPEB Amounts_Report'!$O$323,0)</f>
        <v>-101094</v>
      </c>
      <c r="P66" s="71">
        <f>INDEX('Change in Proportion Layers'!$X$8:$X$321,MATCH('OPEB Amounts_Report'!A66,'Change in Proportion Layers'!$A$8:$A$321,0))</f>
        <v>-4833</v>
      </c>
      <c r="Q66" s="71">
        <f t="shared" si="2"/>
        <v>-105927</v>
      </c>
    </row>
    <row r="67" spans="1:17" ht="12" customHeight="1">
      <c r="A67" s="254">
        <v>2550</v>
      </c>
      <c r="B67" s="255" t="s">
        <v>57</v>
      </c>
      <c r="C67" s="89">
        <f>ROUND(VLOOKUP(A67,'Contribution Allocation_Report'!$A$9:$D$310,4,FALSE)*'OPEB Amounts_Report'!$C$323,0)</f>
        <v>3884916</v>
      </c>
      <c r="D67" s="89">
        <f>ROUND(VLOOKUP(A67,'Contribution Allocation_Report'!$A$9:$D$310,4,FALSE)*'OPEB Amounts_Report'!$D$323,0)</f>
        <v>56803</v>
      </c>
      <c r="E67" s="89">
        <f>ROUND(VLOOKUP(A67,'Contribution Allocation_Report'!$A$9:$D$310,4,FALSE)*'OPEB Amounts_Report'!$E$323,0)</f>
        <v>777796</v>
      </c>
      <c r="F67" s="89">
        <f>INDEX('Change in Proportion Layers'!$Z$8:$Z$321,MATCH('OPEB Amounts_Report'!A67,'Change in Proportion Layers'!$A$8:$A$321,0))</f>
        <v>16226</v>
      </c>
      <c r="G67" s="89">
        <f t="shared" si="1"/>
        <v>850825</v>
      </c>
      <c r="H67" s="89"/>
      <c r="I67" s="89">
        <f>ROUND(VLOOKUP(A67,'Contribution Allocation_Report'!$A$9:$D$310,4,FALSE)*'OPEB Amounts_Report'!$I$323,0)</f>
        <v>619563</v>
      </c>
      <c r="J67" s="89">
        <f>ROUND(VLOOKUP(A67,'Contribution Allocation_Report'!$A$9:$D$310,4,FALSE)*'OPEB Amounts_Report'!$J$323,0)</f>
        <v>111358</v>
      </c>
      <c r="K67" s="89">
        <f>ROUND(VLOOKUP(A67,'Contribution Allocation_Report'!$A$9:$D$310,4,FALSE)*'OPEB Amounts_Report'!$K$323,0)</f>
        <v>1404535</v>
      </c>
      <c r="L67" s="89">
        <f>INDEX('Change in Proportion Layers'!$AA$8:$AA$321,MATCH('OPEB Amounts_Report'!A67,'Change in Proportion Layers'!$A$8:$A$321,0))</f>
        <v>457747</v>
      </c>
      <c r="M67" s="89">
        <f t="shared" si="0"/>
        <v>2593203</v>
      </c>
      <c r="N67" s="90"/>
      <c r="O67" s="90">
        <f>ROUND(VLOOKUP(A67,'Contribution Allocation_Report'!$A$9:$D$310,4,FALSE)*'OPEB Amounts_Report'!$O$323,0)</f>
        <v>-418373</v>
      </c>
      <c r="P67" s="90">
        <f>INDEX('Change in Proportion Layers'!$X$8:$X$321,MATCH('OPEB Amounts_Report'!A67,'Change in Proportion Layers'!$A$8:$A$321,0))</f>
        <v>-124154</v>
      </c>
      <c r="Q67" s="90">
        <f t="shared" si="2"/>
        <v>-542527</v>
      </c>
    </row>
    <row r="68" spans="1:17" ht="12" customHeight="1">
      <c r="A68" s="62">
        <v>2570</v>
      </c>
      <c r="B68" s="66" t="s">
        <v>58</v>
      </c>
      <c r="C68" s="70">
        <f>ROUND(VLOOKUP(A68,'Contribution Allocation_Report'!$A$9:$D$310,4,FALSE)*'OPEB Amounts_Report'!$C$323,0)</f>
        <v>2486517</v>
      </c>
      <c r="D68" s="70">
        <f>ROUND(VLOOKUP(A68,'Contribution Allocation_Report'!$A$9:$D$310,4,FALSE)*'OPEB Amounts_Report'!$D$323,0)</f>
        <v>36356</v>
      </c>
      <c r="E68" s="70">
        <f>ROUND(VLOOKUP(A68,'Contribution Allocation_Report'!$A$9:$D$310,4,FALSE)*'OPEB Amounts_Report'!$E$323,0)</f>
        <v>497824</v>
      </c>
      <c r="F68" s="70">
        <f>INDEX('Change in Proportion Layers'!$Z$8:$Z$321,MATCH('OPEB Amounts_Report'!A68,'Change in Proportion Layers'!$A$8:$A$321,0))</f>
        <v>0</v>
      </c>
      <c r="G68" s="70">
        <f t="shared" si="1"/>
        <v>534180</v>
      </c>
      <c r="H68" s="70"/>
      <c r="I68" s="70">
        <f>ROUND(VLOOKUP(A68,'Contribution Allocation_Report'!$A$9:$D$310,4,FALSE)*'OPEB Amounts_Report'!$I$323,0)</f>
        <v>396548</v>
      </c>
      <c r="J68" s="70">
        <f>ROUND(VLOOKUP(A68,'Contribution Allocation_Report'!$A$9:$D$310,4,FALSE)*'OPEB Amounts_Report'!$J$323,0)</f>
        <v>71274</v>
      </c>
      <c r="K68" s="70">
        <f>ROUND(VLOOKUP(A68,'Contribution Allocation_Report'!$A$9:$D$310,4,FALSE)*'OPEB Amounts_Report'!$K$323,0)</f>
        <v>898964</v>
      </c>
      <c r="L68" s="70">
        <f>INDEX('Change in Proportion Layers'!$AA$8:$AA$321,MATCH('OPEB Amounts_Report'!A68,'Change in Proportion Layers'!$A$8:$A$321,0))</f>
        <v>291033</v>
      </c>
      <c r="M68" s="70">
        <f t="shared" si="0"/>
        <v>1657819</v>
      </c>
      <c r="N68" s="71"/>
      <c r="O68" s="71">
        <f>ROUND(VLOOKUP(A68,'Contribution Allocation_Report'!$A$9:$D$310,4,FALSE)*'OPEB Amounts_Report'!$O$323,0)</f>
        <v>-267777</v>
      </c>
      <c r="P68" s="71">
        <f>INDEX('Change in Proportion Layers'!$X$8:$X$321,MATCH('OPEB Amounts_Report'!A68,'Change in Proportion Layers'!$A$8:$A$321,0))</f>
        <v>-92117</v>
      </c>
      <c r="Q68" s="71">
        <f t="shared" si="2"/>
        <v>-359894</v>
      </c>
    </row>
    <row r="69" spans="1:17" ht="12" customHeight="1">
      <c r="A69" s="254">
        <v>2620</v>
      </c>
      <c r="B69" s="255" t="s">
        <v>59</v>
      </c>
      <c r="C69" s="89">
        <f>ROUND(VLOOKUP(A69,'Contribution Allocation_Report'!$A$9:$D$310,4,FALSE)*'OPEB Amounts_Report'!$C$323,0)</f>
        <v>23314432</v>
      </c>
      <c r="D69" s="89">
        <f>ROUND(VLOOKUP(A69,'Contribution Allocation_Report'!$A$9:$D$310,4,FALSE)*'OPEB Amounts_Report'!$D$323,0)</f>
        <v>340888</v>
      </c>
      <c r="E69" s="89">
        <f>ROUND(VLOOKUP(A69,'Contribution Allocation_Report'!$A$9:$D$310,4,FALSE)*'OPEB Amounts_Report'!$E$323,0)</f>
        <v>4667765</v>
      </c>
      <c r="F69" s="89">
        <f>INDEX('Change in Proportion Layers'!$Z$8:$Z$321,MATCH('OPEB Amounts_Report'!A69,'Change in Proportion Layers'!$A$8:$A$321,0))</f>
        <v>558093</v>
      </c>
      <c r="G69" s="89">
        <f t="shared" si="1"/>
        <v>5566746</v>
      </c>
      <c r="H69" s="89"/>
      <c r="I69" s="89">
        <f>ROUND(VLOOKUP(A69,'Contribution Allocation_Report'!$A$9:$D$310,4,FALSE)*'OPEB Amounts_Report'!$I$323,0)</f>
        <v>3718167</v>
      </c>
      <c r="J69" s="89">
        <f>ROUND(VLOOKUP(A69,'Contribution Allocation_Report'!$A$9:$D$310,4,FALSE)*'OPEB Amounts_Report'!$J$323,0)</f>
        <v>668288</v>
      </c>
      <c r="K69" s="89">
        <f>ROUND(VLOOKUP(A69,'Contribution Allocation_Report'!$A$9:$D$310,4,FALSE)*'OPEB Amounts_Report'!$K$323,0)</f>
        <v>8428994</v>
      </c>
      <c r="L69" s="89">
        <f>INDEX('Change in Proportion Layers'!$AA$8:$AA$321,MATCH('OPEB Amounts_Report'!A69,'Change in Proportion Layers'!$A$8:$A$321,0))</f>
        <v>1479481</v>
      </c>
      <c r="M69" s="89">
        <f t="shared" si="0"/>
        <v>14294930</v>
      </c>
      <c r="N69" s="90"/>
      <c r="O69" s="90">
        <f>ROUND(VLOOKUP(A69,'Contribution Allocation_Report'!$A$9:$D$310,4,FALSE)*'OPEB Amounts_Report'!$O$323,0)</f>
        <v>-2510769</v>
      </c>
      <c r="P69" s="90">
        <f>INDEX('Change in Proportion Layers'!$X$8:$X$321,MATCH('OPEB Amounts_Report'!A69,'Change in Proportion Layers'!$A$8:$A$321,0))</f>
        <v>-433081</v>
      </c>
      <c r="Q69" s="90">
        <f t="shared" si="2"/>
        <v>-2943850</v>
      </c>
    </row>
    <row r="70" spans="1:17" ht="12" customHeight="1">
      <c r="A70" s="62">
        <v>2630</v>
      </c>
      <c r="B70" s="66" t="s">
        <v>60</v>
      </c>
      <c r="C70" s="70">
        <f>ROUND(VLOOKUP(A70,'Contribution Allocation_Report'!$A$9:$D$310,4,FALSE)*'OPEB Amounts_Report'!$C$323,0)</f>
        <v>17939974</v>
      </c>
      <c r="D70" s="70">
        <f>ROUND(VLOOKUP(A70,'Contribution Allocation_Report'!$A$9:$D$310,4,FALSE)*'OPEB Amounts_Report'!$D$323,0)</f>
        <v>262306</v>
      </c>
      <c r="E70" s="70">
        <f>ROUND(VLOOKUP(A70,'Contribution Allocation_Report'!$A$9:$D$310,4,FALSE)*'OPEB Amounts_Report'!$E$323,0)</f>
        <v>3591749</v>
      </c>
      <c r="F70" s="70">
        <f>INDEX('Change in Proportion Layers'!$Z$8:$Z$321,MATCH('OPEB Amounts_Report'!A70,'Change in Proportion Layers'!$A$8:$A$321,0))</f>
        <v>813210</v>
      </c>
      <c r="G70" s="70">
        <f t="shared" si="1"/>
        <v>4667265</v>
      </c>
      <c r="H70" s="70"/>
      <c r="I70" s="70">
        <f>ROUND(VLOOKUP(A70,'Contribution Allocation_Report'!$A$9:$D$310,4,FALSE)*'OPEB Amounts_Report'!$I$323,0)</f>
        <v>2861053</v>
      </c>
      <c r="J70" s="70">
        <f>ROUND(VLOOKUP(A70,'Contribution Allocation_Report'!$A$9:$D$310,4,FALSE)*'OPEB Amounts_Report'!$J$323,0)</f>
        <v>514234</v>
      </c>
      <c r="K70" s="70">
        <f>ROUND(VLOOKUP(A70,'Contribution Allocation_Report'!$A$9:$D$310,4,FALSE)*'OPEB Amounts_Report'!$K$323,0)</f>
        <v>6485937</v>
      </c>
      <c r="L70" s="296">
        <f>INDEX('Change in Proportion Layers'!$AA$8:$AA$321,MATCH('OPEB Amounts_Report'!A70,'Change in Proportion Layers'!$A$8:$A$321,0))</f>
        <v>1610806</v>
      </c>
      <c r="M70" s="70">
        <f t="shared" si="0"/>
        <v>11472030</v>
      </c>
      <c r="N70" s="71"/>
      <c r="O70" s="71">
        <f>ROUND(VLOOKUP(A70,'Contribution Allocation_Report'!$A$9:$D$310,4,FALSE)*'OPEB Amounts_Report'!$O$323,0)</f>
        <v>-1931985</v>
      </c>
      <c r="P70" s="71">
        <f>INDEX('Change in Proportion Layers'!$X$8:$X$321,MATCH('OPEB Amounts_Report'!A70,'Change in Proportion Layers'!$A$8:$A$321,0))</f>
        <v>27436</v>
      </c>
      <c r="Q70" s="71">
        <f t="shared" si="2"/>
        <v>-1904549</v>
      </c>
    </row>
    <row r="71" spans="1:17" ht="12" customHeight="1">
      <c r="A71" s="254">
        <v>2690</v>
      </c>
      <c r="B71" s="255" t="s">
        <v>61</v>
      </c>
      <c r="C71" s="89">
        <f>ROUND(VLOOKUP(A71,'Contribution Allocation_Report'!$A$9:$D$310,4,FALSE)*'OPEB Amounts_Report'!$C$323,0)</f>
        <v>44871487</v>
      </c>
      <c r="D71" s="89">
        <f>ROUND(VLOOKUP(A71,'Contribution Allocation_Report'!$A$9:$D$310,4,FALSE)*'OPEB Amounts_Report'!$D$323,0)</f>
        <v>656080</v>
      </c>
      <c r="E71" s="89">
        <f>ROUND(VLOOKUP(A71,'Contribution Allocation_Report'!$A$9:$D$310,4,FALSE)*'OPEB Amounts_Report'!$E$323,0)</f>
        <v>8983687</v>
      </c>
      <c r="F71" s="89">
        <f>INDEX('Change in Proportion Layers'!$Z$8:$Z$321,MATCH('OPEB Amounts_Report'!A71,'Change in Proportion Layers'!$A$8:$A$321,0))</f>
        <v>1202752</v>
      </c>
      <c r="G71" s="89">
        <f t="shared" si="1"/>
        <v>10842519</v>
      </c>
      <c r="H71" s="89"/>
      <c r="I71" s="89">
        <f>ROUND(VLOOKUP(A71,'Contribution Allocation_Report'!$A$9:$D$310,4,FALSE)*'OPEB Amounts_Report'!$I$323,0)</f>
        <v>7156069</v>
      </c>
      <c r="J71" s="89">
        <f>ROUND(VLOOKUP(A71,'Contribution Allocation_Report'!$A$9:$D$310,4,FALSE)*'OPEB Amounts_Report'!$J$323,0)</f>
        <v>1286203</v>
      </c>
      <c r="K71" s="89">
        <f>ROUND(VLOOKUP(A71,'Contribution Allocation_Report'!$A$9:$D$310,4,FALSE)*'OPEB Amounts_Report'!$K$323,0)</f>
        <v>16222633</v>
      </c>
      <c r="L71" s="89">
        <f>INDEX('Change in Proportion Layers'!$AA$8:$AA$321,MATCH('OPEB Amounts_Report'!A71,'Change in Proportion Layers'!$A$8:$A$321,0))</f>
        <v>9844155</v>
      </c>
      <c r="M71" s="89">
        <f t="shared" si="0"/>
        <v>34509060</v>
      </c>
      <c r="N71" s="90"/>
      <c r="O71" s="90">
        <f>ROUND(VLOOKUP(A71,'Contribution Allocation_Report'!$A$9:$D$310,4,FALSE)*'OPEB Amounts_Report'!$O$323,0)</f>
        <v>-4832284</v>
      </c>
      <c r="P71" s="90">
        <f>INDEX('Change in Proportion Layers'!$X$8:$X$321,MATCH('OPEB Amounts_Report'!A71,'Change in Proportion Layers'!$A$8:$A$321,0))</f>
        <v>-1770036</v>
      </c>
      <c r="Q71" s="90">
        <f t="shared" si="2"/>
        <v>-6602320</v>
      </c>
    </row>
    <row r="72" spans="1:17" ht="12" customHeight="1">
      <c r="A72" s="62">
        <v>2710</v>
      </c>
      <c r="B72" s="66" t="s">
        <v>62</v>
      </c>
      <c r="C72" s="70">
        <f>ROUND(VLOOKUP(A72,'Contribution Allocation_Report'!$A$9:$D$310,4,FALSE)*'OPEB Amounts_Report'!$C$323,0)</f>
        <v>803832</v>
      </c>
      <c r="D72" s="70">
        <f>ROUND(VLOOKUP(A72,'Contribution Allocation_Report'!$A$9:$D$310,4,FALSE)*'OPEB Amounts_Report'!$D$323,0)</f>
        <v>11753</v>
      </c>
      <c r="E72" s="70">
        <f>ROUND(VLOOKUP(A72,'Contribution Allocation_Report'!$A$9:$D$310,4,FALSE)*'OPEB Amounts_Report'!$E$323,0)</f>
        <v>160935</v>
      </c>
      <c r="F72" s="70">
        <f>INDEX('Change in Proportion Layers'!$Z$8:$Z$321,MATCH('OPEB Amounts_Report'!A72,'Change in Proportion Layers'!$A$8:$A$321,0))</f>
        <v>16060</v>
      </c>
      <c r="G72" s="70">
        <f t="shared" si="1"/>
        <v>188748</v>
      </c>
      <c r="H72" s="70"/>
      <c r="I72" s="70">
        <f>ROUND(VLOOKUP(A72,'Contribution Allocation_Report'!$A$9:$D$310,4,FALSE)*'OPEB Amounts_Report'!$I$323,0)</f>
        <v>128195</v>
      </c>
      <c r="J72" s="70">
        <f>ROUND(VLOOKUP(A72,'Contribution Allocation_Report'!$A$9:$D$310,4,FALSE)*'OPEB Amounts_Report'!$J$323,0)</f>
        <v>23041</v>
      </c>
      <c r="K72" s="70">
        <f>ROUND(VLOOKUP(A72,'Contribution Allocation_Report'!$A$9:$D$310,4,FALSE)*'OPEB Amounts_Report'!$K$323,0)</f>
        <v>290614</v>
      </c>
      <c r="L72" s="70">
        <f>INDEX('Change in Proportion Layers'!$AA$8:$AA$321,MATCH('OPEB Amounts_Report'!A72,'Change in Proportion Layers'!$A$8:$A$321,0))</f>
        <v>387057</v>
      </c>
      <c r="M72" s="70">
        <f t="shared" si="0"/>
        <v>828907</v>
      </c>
      <c r="N72" s="71"/>
      <c r="O72" s="71">
        <f>ROUND(VLOOKUP(A72,'Contribution Allocation_Report'!$A$9:$D$310,4,FALSE)*'OPEB Amounts_Report'!$O$323,0)</f>
        <v>-86566</v>
      </c>
      <c r="P72" s="71">
        <f>INDEX('Change in Proportion Layers'!$X$8:$X$321,MATCH('OPEB Amounts_Report'!A72,'Change in Proportion Layers'!$A$8:$A$321,0))</f>
        <v>-91713</v>
      </c>
      <c r="Q72" s="71">
        <f t="shared" si="2"/>
        <v>-178279</v>
      </c>
    </row>
    <row r="73" spans="1:17" ht="12" customHeight="1">
      <c r="A73" s="254">
        <v>2730</v>
      </c>
      <c r="B73" s="255" t="s">
        <v>63</v>
      </c>
      <c r="C73" s="89">
        <f>ROUND(VLOOKUP(A73,'Contribution Allocation_Report'!$A$9:$D$310,4,FALSE)*'OPEB Amounts_Report'!$C$323,0)</f>
        <v>3309763</v>
      </c>
      <c r="D73" s="89">
        <f>ROUND(VLOOKUP(A73,'Contribution Allocation_Report'!$A$9:$D$310,4,FALSE)*'OPEB Amounts_Report'!$D$323,0)</f>
        <v>48393</v>
      </c>
      <c r="E73" s="89">
        <f>ROUND(VLOOKUP(A73,'Contribution Allocation_Report'!$A$9:$D$310,4,FALSE)*'OPEB Amounts_Report'!$E$323,0)</f>
        <v>662645</v>
      </c>
      <c r="F73" s="89">
        <f>INDEX('Change in Proportion Layers'!$Z$8:$Z$321,MATCH('OPEB Amounts_Report'!A73,'Change in Proportion Layers'!$A$8:$A$321,0))</f>
        <v>113738</v>
      </c>
      <c r="G73" s="89">
        <f t="shared" si="1"/>
        <v>824776</v>
      </c>
      <c r="H73" s="89"/>
      <c r="I73" s="89">
        <f>ROUND(VLOOKUP(A73,'Contribution Allocation_Report'!$A$9:$D$310,4,FALSE)*'OPEB Amounts_Report'!$I$323,0)</f>
        <v>527838</v>
      </c>
      <c r="J73" s="89">
        <f>ROUND(VLOOKUP(A73,'Contribution Allocation_Report'!$A$9:$D$310,4,FALSE)*'OPEB Amounts_Report'!$J$323,0)</f>
        <v>94872</v>
      </c>
      <c r="K73" s="89">
        <f>ROUND(VLOOKUP(A73,'Contribution Allocation_Report'!$A$9:$D$310,4,FALSE)*'OPEB Amounts_Report'!$K$323,0)</f>
        <v>1196597</v>
      </c>
      <c r="L73" s="89">
        <f>INDEX('Change in Proportion Layers'!$AA$8:$AA$321,MATCH('OPEB Amounts_Report'!A73,'Change in Proportion Layers'!$A$8:$A$321,0))</f>
        <v>397117</v>
      </c>
      <c r="M73" s="89">
        <f t="shared" si="0"/>
        <v>2216424</v>
      </c>
      <c r="N73" s="90"/>
      <c r="O73" s="90">
        <f>ROUND(VLOOKUP(A73,'Contribution Allocation_Report'!$A$9:$D$310,4,FALSE)*'OPEB Amounts_Report'!$O$323,0)</f>
        <v>-356434</v>
      </c>
      <c r="P73" s="90">
        <f>INDEX('Change in Proportion Layers'!$X$8:$X$321,MATCH('OPEB Amounts_Report'!A73,'Change in Proportion Layers'!$A$8:$A$321,0))</f>
        <v>-106168</v>
      </c>
      <c r="Q73" s="90">
        <f t="shared" si="2"/>
        <v>-462602</v>
      </c>
    </row>
    <row r="74" spans="1:17" ht="12" customHeight="1">
      <c r="A74" s="62">
        <v>2950</v>
      </c>
      <c r="B74" s="66" t="s">
        <v>64</v>
      </c>
      <c r="C74" s="70">
        <f>ROUND(VLOOKUP(A74,'Contribution Allocation_Report'!$A$9:$D$310,4,FALSE)*'OPEB Amounts_Report'!$C$323,0)</f>
        <v>2803049</v>
      </c>
      <c r="D74" s="70">
        <f>ROUND(VLOOKUP(A74,'Contribution Allocation_Report'!$A$9:$D$310,4,FALSE)*'OPEB Amounts_Report'!$D$323,0)</f>
        <v>40984</v>
      </c>
      <c r="E74" s="70">
        <f>ROUND(VLOOKUP(A74,'Contribution Allocation_Report'!$A$9:$D$310,4,FALSE)*'OPEB Amounts_Report'!$E$323,0)</f>
        <v>561196</v>
      </c>
      <c r="F74" s="70">
        <f>INDEX('Change in Proportion Layers'!$Z$8:$Z$321,MATCH('OPEB Amounts_Report'!A74,'Change in Proportion Layers'!$A$8:$A$321,0))</f>
        <v>451242</v>
      </c>
      <c r="G74" s="70">
        <f t="shared" si="1"/>
        <v>1053422</v>
      </c>
      <c r="H74" s="70"/>
      <c r="I74" s="70">
        <f>ROUND(VLOOKUP(A74,'Contribution Allocation_Report'!$A$9:$D$310,4,FALSE)*'OPEB Amounts_Report'!$I$323,0)</f>
        <v>447028</v>
      </c>
      <c r="J74" s="70">
        <f>ROUND(VLOOKUP(A74,'Contribution Allocation_Report'!$A$9:$D$310,4,FALSE)*'OPEB Amounts_Report'!$J$323,0)</f>
        <v>80347</v>
      </c>
      <c r="K74" s="70">
        <f>ROUND(VLOOKUP(A74,'Contribution Allocation_Report'!$A$9:$D$310,4,FALSE)*'OPEB Amounts_Report'!$K$323,0)</f>
        <v>1013402</v>
      </c>
      <c r="L74" s="296">
        <f>INDEX('Change in Proportion Layers'!$AA$8:$AA$321,MATCH('OPEB Amounts_Report'!A74,'Change in Proportion Layers'!$A$8:$A$321,0))</f>
        <v>304508</v>
      </c>
      <c r="M74" s="70">
        <f t="shared" si="0"/>
        <v>1845285</v>
      </c>
      <c r="N74" s="71"/>
      <c r="O74" s="71">
        <f>ROUND(VLOOKUP(A74,'Contribution Allocation_Report'!$A$9:$D$310,4,FALSE)*'OPEB Amounts_Report'!$O$323,0)</f>
        <v>-301865</v>
      </c>
      <c r="P74" s="71">
        <f>INDEX('Change in Proportion Layers'!$X$8:$X$321,MATCH('OPEB Amounts_Report'!A74,'Change in Proportion Layers'!$A$8:$A$321,0))</f>
        <v>123151</v>
      </c>
      <c r="Q74" s="71">
        <f t="shared" si="2"/>
        <v>-178714</v>
      </c>
    </row>
    <row r="75" spans="1:17" ht="12" customHeight="1">
      <c r="A75" s="254">
        <v>2760</v>
      </c>
      <c r="B75" s="255" t="s">
        <v>65</v>
      </c>
      <c r="C75" s="89">
        <f>ROUND(VLOOKUP(A75,'Contribution Allocation_Report'!$A$9:$D$310,4,FALSE)*'OPEB Amounts_Report'!$C$323,0)</f>
        <v>2665183</v>
      </c>
      <c r="D75" s="89">
        <f>ROUND(VLOOKUP(A75,'Contribution Allocation_Report'!$A$9:$D$310,4,FALSE)*'OPEB Amounts_Report'!$D$323,0)</f>
        <v>38968</v>
      </c>
      <c r="E75" s="89">
        <f>ROUND(VLOOKUP(A75,'Contribution Allocation_Report'!$A$9:$D$310,4,FALSE)*'OPEB Amounts_Report'!$E$323,0)</f>
        <v>533594</v>
      </c>
      <c r="F75" s="89">
        <f>INDEX('Change in Proportion Layers'!$Z$8:$Z$321,MATCH('OPEB Amounts_Report'!A75,'Change in Proportion Layers'!$A$8:$A$321,0))</f>
        <v>280125</v>
      </c>
      <c r="G75" s="89">
        <f t="shared" ref="G75:G138" si="3">SUM(D75:F75)</f>
        <v>852687</v>
      </c>
      <c r="H75" s="89"/>
      <c r="I75" s="89">
        <f>ROUND(VLOOKUP(A75,'Contribution Allocation_Report'!$A$9:$D$310,4,FALSE)*'OPEB Amounts_Report'!$I$323,0)</f>
        <v>425041</v>
      </c>
      <c r="J75" s="89">
        <f>ROUND(VLOOKUP(A75,'Contribution Allocation_Report'!$A$9:$D$310,4,FALSE)*'OPEB Amounts_Report'!$J$323,0)</f>
        <v>76395</v>
      </c>
      <c r="K75" s="89">
        <f>ROUND(VLOOKUP(A75,'Contribution Allocation_Report'!$A$9:$D$310,4,FALSE)*'OPEB Amounts_Report'!$K$323,0)</f>
        <v>963558</v>
      </c>
      <c r="L75" s="89">
        <f>INDEX('Change in Proportion Layers'!$AA$8:$AA$321,MATCH('OPEB Amounts_Report'!A75,'Change in Proportion Layers'!$A$8:$A$321,0))</f>
        <v>132676</v>
      </c>
      <c r="M75" s="89">
        <f t="shared" ref="M75:M138" si="4">SUM(I75:L75)</f>
        <v>1597670</v>
      </c>
      <c r="N75" s="90"/>
      <c r="O75" s="90">
        <f>ROUND(VLOOKUP(A75,'Contribution Allocation_Report'!$A$9:$D$310,4,FALSE)*'OPEB Amounts_Report'!$O$323,0)</f>
        <v>-287018</v>
      </c>
      <c r="P75" s="90">
        <f>INDEX('Change in Proportion Layers'!$X$8:$X$321,MATCH('OPEB Amounts_Report'!A75,'Change in Proportion Layers'!$A$8:$A$321,0))</f>
        <v>15458</v>
      </c>
      <c r="Q75" s="90">
        <f t="shared" ref="Q75:Q138" si="5">+O75+P75</f>
        <v>-271560</v>
      </c>
    </row>
    <row r="76" spans="1:17" ht="12" customHeight="1">
      <c r="A76" s="62">
        <v>2780</v>
      </c>
      <c r="B76" s="66" t="s">
        <v>66</v>
      </c>
      <c r="C76" s="70">
        <f>ROUND(VLOOKUP(A76,'Contribution Allocation_Report'!$A$9:$D$310,4,FALSE)*'OPEB Amounts_Report'!$C$323,0)</f>
        <v>239208</v>
      </c>
      <c r="D76" s="70">
        <f>ROUND(VLOOKUP(A76,'Contribution Allocation_Report'!$A$9:$D$310,4,FALSE)*'OPEB Amounts_Report'!$D$323,0)</f>
        <v>3498</v>
      </c>
      <c r="E76" s="70">
        <f>ROUND(VLOOKUP(A76,'Contribution Allocation_Report'!$A$9:$D$310,4,FALSE)*'OPEB Amounts_Report'!$E$323,0)</f>
        <v>47892</v>
      </c>
      <c r="F76" s="70">
        <f>INDEX('Change in Proportion Layers'!$Z$8:$Z$321,MATCH('OPEB Amounts_Report'!A76,'Change in Proportion Layers'!$A$8:$A$321,0))</f>
        <v>31367</v>
      </c>
      <c r="G76" s="70">
        <f t="shared" si="3"/>
        <v>82757</v>
      </c>
      <c r="H76" s="70"/>
      <c r="I76" s="70">
        <f>ROUND(VLOOKUP(A76,'Contribution Allocation_Report'!$A$9:$D$310,4,FALSE)*'OPEB Amounts_Report'!$I$323,0)</f>
        <v>38149</v>
      </c>
      <c r="J76" s="70">
        <f>ROUND(VLOOKUP(A76,'Contribution Allocation_Report'!$A$9:$D$310,4,FALSE)*'OPEB Amounts_Report'!$J$323,0)</f>
        <v>6857</v>
      </c>
      <c r="K76" s="70">
        <f>ROUND(VLOOKUP(A76,'Contribution Allocation_Report'!$A$9:$D$310,4,FALSE)*'OPEB Amounts_Report'!$K$323,0)</f>
        <v>86482</v>
      </c>
      <c r="L76" s="296">
        <f>INDEX('Change in Proportion Layers'!$AA$8:$AA$321,MATCH('OPEB Amounts_Report'!A76,'Change in Proportion Layers'!$A$8:$A$321,0))</f>
        <v>37593</v>
      </c>
      <c r="M76" s="70">
        <f t="shared" si="4"/>
        <v>169081</v>
      </c>
      <c r="N76" s="71"/>
      <c r="O76" s="71">
        <f>ROUND(VLOOKUP(A76,'Contribution Allocation_Report'!$A$9:$D$310,4,FALSE)*'OPEB Amounts_Report'!$O$323,0)</f>
        <v>-25761</v>
      </c>
      <c r="P76" s="71">
        <f>INDEX('Change in Proportion Layers'!$X$8:$X$321,MATCH('OPEB Amounts_Report'!A76,'Change in Proportion Layers'!$A$8:$A$321,0))</f>
        <v>197</v>
      </c>
      <c r="Q76" s="71">
        <f t="shared" si="5"/>
        <v>-25564</v>
      </c>
    </row>
    <row r="77" spans="1:17" ht="12" customHeight="1">
      <c r="A77" s="254">
        <v>2810</v>
      </c>
      <c r="B77" s="255" t="s">
        <v>67</v>
      </c>
      <c r="C77" s="89">
        <f>ROUND(VLOOKUP(A77,'Contribution Allocation_Report'!$A$9:$D$310,4,FALSE)*'OPEB Amounts_Report'!$C$323,0)</f>
        <v>1874512</v>
      </c>
      <c r="D77" s="89">
        <f>ROUND(VLOOKUP(A77,'Contribution Allocation_Report'!$A$9:$D$310,4,FALSE)*'OPEB Amounts_Report'!$D$323,0)</f>
        <v>27408</v>
      </c>
      <c r="E77" s="89">
        <f>ROUND(VLOOKUP(A77,'Contribution Allocation_Report'!$A$9:$D$310,4,FALSE)*'OPEB Amounts_Report'!$E$323,0)</f>
        <v>375295</v>
      </c>
      <c r="F77" s="297">
        <f>INDEX('Change in Proportion Layers'!$Z$8:$Z$321,MATCH('OPEB Amounts_Report'!A77,'Change in Proportion Layers'!$A$8:$A$321,0))</f>
        <v>242726</v>
      </c>
      <c r="G77" s="89">
        <f t="shared" si="3"/>
        <v>645429</v>
      </c>
      <c r="H77" s="89"/>
      <c r="I77" s="89">
        <f>ROUND(VLOOKUP(A77,'Contribution Allocation_Report'!$A$9:$D$310,4,FALSE)*'OPEB Amounts_Report'!$I$323,0)</f>
        <v>298946</v>
      </c>
      <c r="J77" s="89">
        <f>ROUND(VLOOKUP(A77,'Contribution Allocation_Report'!$A$9:$D$310,4,FALSE)*'OPEB Amounts_Report'!$J$323,0)</f>
        <v>53731</v>
      </c>
      <c r="K77" s="89">
        <f>ROUND(VLOOKUP(A77,'Contribution Allocation_Report'!$A$9:$D$310,4,FALSE)*'OPEB Amounts_Report'!$K$323,0)</f>
        <v>677703</v>
      </c>
      <c r="L77" s="89">
        <f>INDEX('Change in Proportion Layers'!$AA$8:$AA$321,MATCH('OPEB Amounts_Report'!A77,'Change in Proportion Layers'!$A$8:$A$321,0))</f>
        <v>1187785</v>
      </c>
      <c r="M77" s="89">
        <f t="shared" si="4"/>
        <v>2218165</v>
      </c>
      <c r="N77" s="90"/>
      <c r="O77" s="90">
        <f>ROUND(VLOOKUP(A77,'Contribution Allocation_Report'!$A$9:$D$310,4,FALSE)*'OPEB Amounts_Report'!$O$323,0)</f>
        <v>-201869</v>
      </c>
      <c r="P77" s="90">
        <f>INDEX('Change in Proportion Layers'!$X$8:$X$321,MATCH('OPEB Amounts_Report'!A77,'Change in Proportion Layers'!$A$8:$A$321,0))</f>
        <v>-170446</v>
      </c>
      <c r="Q77" s="90">
        <f t="shared" si="5"/>
        <v>-372315</v>
      </c>
    </row>
    <row r="78" spans="1:17" ht="12" customHeight="1">
      <c r="A78" s="62">
        <v>18056</v>
      </c>
      <c r="B78" s="66" t="s">
        <v>68</v>
      </c>
      <c r="C78" s="70">
        <f>ROUND(VLOOKUP(A78,'Contribution Allocation_Report'!$A$9:$D$310,4,FALSE)*'OPEB Amounts_Report'!$C$323,0)</f>
        <v>2224935</v>
      </c>
      <c r="D78" s="70">
        <f>ROUND(VLOOKUP(A78,'Contribution Allocation_Report'!$A$9:$D$310,4,FALSE)*'OPEB Amounts_Report'!$D$323,0)</f>
        <v>32531</v>
      </c>
      <c r="E78" s="70">
        <f>ROUND(VLOOKUP(A78,'Contribution Allocation_Report'!$A$9:$D$310,4,FALSE)*'OPEB Amounts_Report'!$E$323,0)</f>
        <v>445452</v>
      </c>
      <c r="F78" s="70">
        <f>INDEX('Change in Proportion Layers'!$Z$8:$Z$321,MATCH('OPEB Amounts_Report'!A78,'Change in Proportion Layers'!$A$8:$A$321,0))</f>
        <v>516454</v>
      </c>
      <c r="G78" s="70">
        <f t="shared" si="3"/>
        <v>994437</v>
      </c>
      <c r="H78" s="70"/>
      <c r="I78" s="70">
        <f>ROUND(VLOOKUP(A78,'Contribution Allocation_Report'!$A$9:$D$310,4,FALSE)*'OPEB Amounts_Report'!$I$323,0)</f>
        <v>354831</v>
      </c>
      <c r="J78" s="70">
        <f>ROUND(VLOOKUP(A78,'Contribution Allocation_Report'!$A$9:$D$310,4,FALSE)*'OPEB Amounts_Report'!$J$323,0)</f>
        <v>63776</v>
      </c>
      <c r="K78" s="70">
        <f>ROUND(VLOOKUP(A78,'Contribution Allocation_Report'!$A$9:$D$310,4,FALSE)*'OPEB Amounts_Report'!$K$323,0)</f>
        <v>804393</v>
      </c>
      <c r="L78" s="296">
        <f>INDEX('Change in Proportion Layers'!$AA$8:$AA$321,MATCH('OPEB Amounts_Report'!A78,'Change in Proportion Layers'!$A$8:$A$321,0))</f>
        <v>461107</v>
      </c>
      <c r="M78" s="70">
        <f t="shared" si="4"/>
        <v>1684107</v>
      </c>
      <c r="N78" s="71"/>
      <c r="O78" s="71">
        <f>ROUND(VLOOKUP(A78,'Contribution Allocation_Report'!$A$9:$D$310,4,FALSE)*'OPEB Amounts_Report'!$O$323,0)</f>
        <v>-239607</v>
      </c>
      <c r="P78" s="71">
        <f>INDEX('Change in Proportion Layers'!$X$8:$X$321,MATCH('OPEB Amounts_Report'!A78,'Change in Proportion Layers'!$A$8:$A$321,0))</f>
        <v>107745</v>
      </c>
      <c r="Q78" s="71">
        <f t="shared" si="5"/>
        <v>-131862</v>
      </c>
    </row>
    <row r="79" spans="1:17" ht="12" customHeight="1">
      <c r="A79" s="254">
        <v>15047</v>
      </c>
      <c r="B79" s="255" t="s">
        <v>69</v>
      </c>
      <c r="C79" s="89">
        <f>ROUND(VLOOKUP(A79,'Contribution Allocation_Report'!$A$9:$D$310,4,FALSE)*'OPEB Amounts_Report'!$C$323,0)</f>
        <v>2027843</v>
      </c>
      <c r="D79" s="89">
        <f>ROUND(VLOOKUP(A79,'Contribution Allocation_Report'!$A$9:$D$310,4,FALSE)*'OPEB Amounts_Report'!$D$323,0)</f>
        <v>29650</v>
      </c>
      <c r="E79" s="89">
        <f>ROUND(VLOOKUP(A79,'Contribution Allocation_Report'!$A$9:$D$310,4,FALSE)*'OPEB Amounts_Report'!$E$323,0)</f>
        <v>405993</v>
      </c>
      <c r="F79" s="297">
        <f>INDEX('Change in Proportion Layers'!$Z$8:$Z$321,MATCH('OPEB Amounts_Report'!A79,'Change in Proportion Layers'!$A$8:$A$321,0))</f>
        <v>464254</v>
      </c>
      <c r="G79" s="89">
        <f t="shared" si="3"/>
        <v>899897</v>
      </c>
      <c r="H79" s="89"/>
      <c r="I79" s="89">
        <f>ROUND(VLOOKUP(A79,'Contribution Allocation_Report'!$A$9:$D$310,4,FALSE)*'OPEB Amounts_Report'!$I$323,0)</f>
        <v>323399</v>
      </c>
      <c r="J79" s="89">
        <f>ROUND(VLOOKUP(A79,'Contribution Allocation_Report'!$A$9:$D$310,4,FALSE)*'OPEB Amounts_Report'!$J$323,0)</f>
        <v>58126</v>
      </c>
      <c r="K79" s="89">
        <f>ROUND(VLOOKUP(A79,'Contribution Allocation_Report'!$A$9:$D$310,4,FALSE)*'OPEB Amounts_Report'!$K$323,0)</f>
        <v>733137</v>
      </c>
      <c r="L79" s="89">
        <f>INDEX('Change in Proportion Layers'!$AA$8:$AA$321,MATCH('OPEB Amounts_Report'!A79,'Change in Proportion Layers'!$A$8:$A$321,0))</f>
        <v>86061</v>
      </c>
      <c r="M79" s="89">
        <f t="shared" si="4"/>
        <v>1200723</v>
      </c>
      <c r="N79" s="90"/>
      <c r="O79" s="90">
        <f>ROUND(VLOOKUP(A79,'Contribution Allocation_Report'!$A$9:$D$310,4,FALSE)*'OPEB Amounts_Report'!$O$323,0)</f>
        <v>-218382</v>
      </c>
      <c r="P79" s="90">
        <f>INDEX('Change in Proportion Layers'!$X$8:$X$321,MATCH('OPEB Amounts_Report'!A79,'Change in Proportion Layers'!$A$8:$A$321,0))</f>
        <v>79880</v>
      </c>
      <c r="Q79" s="90">
        <f t="shared" si="5"/>
        <v>-138502</v>
      </c>
    </row>
    <row r="80" spans="1:17" ht="12" customHeight="1">
      <c r="A80" s="62">
        <v>5012</v>
      </c>
      <c r="B80" s="66" t="s">
        <v>70</v>
      </c>
      <c r="C80" s="70">
        <f>ROUND(VLOOKUP(A80,'Contribution Allocation_Report'!$A$9:$D$310,4,FALSE)*'OPEB Amounts_Report'!$C$323,0)</f>
        <v>33633627</v>
      </c>
      <c r="D80" s="70">
        <f>ROUND(VLOOKUP(A80,'Contribution Allocation_Report'!$A$9:$D$310,4,FALSE)*'OPEB Amounts_Report'!$D$323,0)</f>
        <v>491768</v>
      </c>
      <c r="E80" s="70">
        <f>ROUND(VLOOKUP(A80,'Contribution Allocation_Report'!$A$9:$D$310,4,FALSE)*'OPEB Amounts_Report'!$E$323,0)</f>
        <v>6733763</v>
      </c>
      <c r="F80" s="70">
        <f>INDEX('Change in Proportion Layers'!$Z$8:$Z$321,MATCH('OPEB Amounts_Report'!A80,'Change in Proportion Layers'!$A$8:$A$321,0))</f>
        <v>2839344</v>
      </c>
      <c r="G80" s="70">
        <f t="shared" si="3"/>
        <v>10064875</v>
      </c>
      <c r="H80" s="70"/>
      <c r="I80" s="70">
        <f>ROUND(VLOOKUP(A80,'Contribution Allocation_Report'!$A$9:$D$310,4,FALSE)*'OPEB Amounts_Report'!$I$323,0)</f>
        <v>5363864</v>
      </c>
      <c r="J80" s="70">
        <f>ROUND(VLOOKUP(A80,'Contribution Allocation_Report'!$A$9:$D$310,4,FALSE)*'OPEB Amounts_Report'!$J$323,0)</f>
        <v>964079</v>
      </c>
      <c r="K80" s="70">
        <f>ROUND(VLOOKUP(A80,'Contribution Allocation_Report'!$A$9:$D$310,4,FALSE)*'OPEB Amounts_Report'!$K$323,0)</f>
        <v>12159748</v>
      </c>
      <c r="L80" s="70">
        <f>INDEX('Change in Proportion Layers'!$AA$8:$AA$321,MATCH('OPEB Amounts_Report'!A80,'Change in Proportion Layers'!$A$8:$A$321,0))</f>
        <v>469745</v>
      </c>
      <c r="M80" s="70">
        <f t="shared" si="4"/>
        <v>18957436</v>
      </c>
      <c r="N80" s="71"/>
      <c r="O80" s="71">
        <f>ROUND(VLOOKUP(A80,'Contribution Allocation_Report'!$A$9:$D$310,4,FALSE)*'OPEB Amounts_Report'!$O$323,0)</f>
        <v>-3622060</v>
      </c>
      <c r="P80" s="71">
        <f>INDEX('Change in Proportion Layers'!$X$8:$X$321,MATCH('OPEB Amounts_Report'!A80,'Change in Proportion Layers'!$A$8:$A$321,0))</f>
        <v>620945</v>
      </c>
      <c r="Q80" s="71">
        <f t="shared" si="5"/>
        <v>-3001115</v>
      </c>
    </row>
    <row r="81" spans="1:17" ht="12" customHeight="1">
      <c r="A81" s="254">
        <v>8024</v>
      </c>
      <c r="B81" s="255" t="s">
        <v>71</v>
      </c>
      <c r="C81" s="89">
        <f>ROUND(VLOOKUP(A81,'Contribution Allocation_Report'!$A$9:$D$310,4,FALSE)*'OPEB Amounts_Report'!$C$323,0)</f>
        <v>7116698</v>
      </c>
      <c r="D81" s="89">
        <f>ROUND(VLOOKUP(A81,'Contribution Allocation_Report'!$A$9:$D$310,4,FALSE)*'OPEB Amounts_Report'!$D$323,0)</f>
        <v>104055</v>
      </c>
      <c r="E81" s="89">
        <f>ROUND(VLOOKUP(A81,'Contribution Allocation_Report'!$A$9:$D$310,4,FALSE)*'OPEB Amounts_Report'!$E$323,0)</f>
        <v>1424829</v>
      </c>
      <c r="F81" s="89">
        <f>INDEX('Change in Proportion Layers'!$Z$8:$Z$321,MATCH('OPEB Amounts_Report'!A81,'Change in Proportion Layers'!$A$8:$A$321,0))</f>
        <v>1170841</v>
      </c>
      <c r="G81" s="89">
        <f t="shared" si="3"/>
        <v>2699725</v>
      </c>
      <c r="H81" s="89"/>
      <c r="I81" s="89">
        <f>ROUND(VLOOKUP(A81,'Contribution Allocation_Report'!$A$9:$D$310,4,FALSE)*'OPEB Amounts_Report'!$I$323,0)</f>
        <v>1134965</v>
      </c>
      <c r="J81" s="89">
        <f>ROUND(VLOOKUP(A81,'Contribution Allocation_Report'!$A$9:$D$310,4,FALSE)*'OPEB Amounts_Report'!$J$323,0)</f>
        <v>203994</v>
      </c>
      <c r="K81" s="89">
        <f>ROUND(VLOOKUP(A81,'Contribution Allocation_Report'!$A$9:$D$310,4,FALSE)*'OPEB Amounts_Report'!$K$323,0)</f>
        <v>2572938</v>
      </c>
      <c r="L81" s="89">
        <f>INDEX('Change in Proportion Layers'!$AA$8:$AA$321,MATCH('OPEB Amounts_Report'!A81,'Change in Proportion Layers'!$A$8:$A$321,0))</f>
        <v>782701</v>
      </c>
      <c r="M81" s="89">
        <f t="shared" si="4"/>
        <v>4694598</v>
      </c>
      <c r="N81" s="90"/>
      <c r="O81" s="90">
        <f>ROUND(VLOOKUP(A81,'Contribution Allocation_Report'!$A$9:$D$310,4,FALSE)*'OPEB Amounts_Report'!$O$323,0)</f>
        <v>-766409</v>
      </c>
      <c r="P81" s="90">
        <f>INDEX('Change in Proportion Layers'!$X$8:$X$321,MATCH('OPEB Amounts_Report'!A81,'Change in Proportion Layers'!$A$8:$A$321,0))</f>
        <v>292494</v>
      </c>
      <c r="Q81" s="90">
        <f t="shared" si="5"/>
        <v>-473915</v>
      </c>
    </row>
    <row r="82" spans="1:17" ht="12" customHeight="1">
      <c r="A82" s="62">
        <v>3050</v>
      </c>
      <c r="B82" s="66" t="s">
        <v>72</v>
      </c>
      <c r="C82" s="70">
        <f>ROUND(VLOOKUP(A82,'Contribution Allocation_Report'!$A$9:$D$310,4,FALSE)*'OPEB Amounts_Report'!$C$323,0)</f>
        <v>2335490</v>
      </c>
      <c r="D82" s="70">
        <f>ROUND(VLOOKUP(A82,'Contribution Allocation_Report'!$A$9:$D$310,4,FALSE)*'OPEB Amounts_Report'!$D$323,0)</f>
        <v>34148</v>
      </c>
      <c r="E82" s="70">
        <f>ROUND(VLOOKUP(A82,'Contribution Allocation_Report'!$A$9:$D$310,4,FALSE)*'OPEB Amounts_Report'!$E$323,0)</f>
        <v>467587</v>
      </c>
      <c r="F82" s="70">
        <f>INDEX('Change in Proportion Layers'!$Z$8:$Z$321,MATCH('OPEB Amounts_Report'!A82,'Change in Proportion Layers'!$A$8:$A$321,0))</f>
        <v>241240</v>
      </c>
      <c r="G82" s="70">
        <f t="shared" si="3"/>
        <v>742975</v>
      </c>
      <c r="H82" s="70"/>
      <c r="I82" s="70">
        <f>ROUND(VLOOKUP(A82,'Contribution Allocation_Report'!$A$9:$D$310,4,FALSE)*'OPEB Amounts_Report'!$I$323,0)</f>
        <v>372462</v>
      </c>
      <c r="J82" s="70">
        <f>ROUND(VLOOKUP(A82,'Contribution Allocation_Report'!$A$9:$D$310,4,FALSE)*'OPEB Amounts_Report'!$J$323,0)</f>
        <v>66945</v>
      </c>
      <c r="K82" s="70">
        <f>ROUND(VLOOKUP(A82,'Contribution Allocation_Report'!$A$9:$D$310,4,FALSE)*'OPEB Amounts_Report'!$K$323,0)</f>
        <v>844363</v>
      </c>
      <c r="L82" s="70">
        <f>INDEX('Change in Proportion Layers'!$AA$8:$AA$321,MATCH('OPEB Amounts_Report'!A82,'Change in Proportion Layers'!$A$8:$A$321,0))</f>
        <v>144963</v>
      </c>
      <c r="M82" s="70">
        <f t="shared" si="4"/>
        <v>1428733</v>
      </c>
      <c r="N82" s="71"/>
      <c r="O82" s="71">
        <f>ROUND(VLOOKUP(A82,'Contribution Allocation_Report'!$A$9:$D$310,4,FALSE)*'OPEB Amounts_Report'!$O$323,0)</f>
        <v>-251513</v>
      </c>
      <c r="P82" s="71">
        <f>INDEX('Change in Proportion Layers'!$X$8:$X$321,MATCH('OPEB Amounts_Report'!A82,'Change in Proportion Layers'!$A$8:$A$321,0))</f>
        <v>33274</v>
      </c>
      <c r="Q82" s="71">
        <f t="shared" si="5"/>
        <v>-218239</v>
      </c>
    </row>
    <row r="83" spans="1:17" ht="12" customHeight="1">
      <c r="A83" s="254">
        <v>2421</v>
      </c>
      <c r="B83" s="255" t="s">
        <v>73</v>
      </c>
      <c r="C83" s="89">
        <f>ROUND(VLOOKUP(A83,'Contribution Allocation_Report'!$A$9:$D$310,4,FALSE)*'OPEB Amounts_Report'!$C$323,0)</f>
        <v>841671</v>
      </c>
      <c r="D83" s="89">
        <f>ROUND(VLOOKUP(A83,'Contribution Allocation_Report'!$A$9:$D$310,4,FALSE)*'OPEB Amounts_Report'!$D$323,0)</f>
        <v>12306</v>
      </c>
      <c r="E83" s="89">
        <f>ROUND(VLOOKUP(A83,'Contribution Allocation_Report'!$A$9:$D$310,4,FALSE)*'OPEB Amounts_Report'!$E$323,0)</f>
        <v>168510</v>
      </c>
      <c r="F83" s="89">
        <f>INDEX('Change in Proportion Layers'!$Z$8:$Z$321,MATCH('OPEB Amounts_Report'!A83,'Change in Proportion Layers'!$A$8:$A$321,0))</f>
        <v>29443</v>
      </c>
      <c r="G83" s="89">
        <f t="shared" si="3"/>
        <v>210259</v>
      </c>
      <c r="H83" s="89"/>
      <c r="I83" s="89">
        <f>ROUND(VLOOKUP(A83,'Contribution Allocation_Report'!$A$9:$D$310,4,FALSE)*'OPEB Amounts_Report'!$I$323,0)</f>
        <v>134229</v>
      </c>
      <c r="J83" s="89">
        <f>ROUND(VLOOKUP(A83,'Contribution Allocation_Report'!$A$9:$D$310,4,FALSE)*'OPEB Amounts_Report'!$J$323,0)</f>
        <v>24126</v>
      </c>
      <c r="K83" s="89">
        <f>ROUND(VLOOKUP(A83,'Contribution Allocation_Report'!$A$9:$D$310,4,FALSE)*'OPEB Amounts_Report'!$K$323,0)</f>
        <v>304294</v>
      </c>
      <c r="L83" s="89">
        <f>INDEX('Change in Proportion Layers'!$AA$8:$AA$321,MATCH('OPEB Amounts_Report'!A83,'Change in Proportion Layers'!$A$8:$A$321,0))</f>
        <v>80700</v>
      </c>
      <c r="M83" s="89">
        <f t="shared" si="4"/>
        <v>543349</v>
      </c>
      <c r="N83" s="90"/>
      <c r="O83" s="90">
        <f>ROUND(VLOOKUP(A83,'Contribution Allocation_Report'!$A$9:$D$310,4,FALSE)*'OPEB Amounts_Report'!$O$323,0)</f>
        <v>-90641</v>
      </c>
      <c r="P83" s="90">
        <f>INDEX('Change in Proportion Layers'!$X$8:$X$321,MATCH('OPEB Amounts_Report'!A83,'Change in Proportion Layers'!$A$8:$A$321,0))</f>
        <v>-27856</v>
      </c>
      <c r="Q83" s="90">
        <f t="shared" si="5"/>
        <v>-118497</v>
      </c>
    </row>
    <row r="84" spans="1:17" ht="12" customHeight="1">
      <c r="A84" s="62">
        <v>26079</v>
      </c>
      <c r="B84" s="66" t="s">
        <v>74</v>
      </c>
      <c r="C84" s="70">
        <f>ROUND(VLOOKUP(A84,'Contribution Allocation_Report'!$A$9:$D$310,4,FALSE)*'OPEB Amounts_Report'!$C$323,0)</f>
        <v>750858</v>
      </c>
      <c r="D84" s="70">
        <f>ROUND(VLOOKUP(A84,'Contribution Allocation_Report'!$A$9:$D$310,4,FALSE)*'OPEB Amounts_Report'!$D$323,0)</f>
        <v>10979</v>
      </c>
      <c r="E84" s="70">
        <f>ROUND(VLOOKUP(A84,'Contribution Allocation_Report'!$A$9:$D$310,4,FALSE)*'OPEB Amounts_Report'!$E$323,0)</f>
        <v>150329</v>
      </c>
      <c r="F84" s="70">
        <f>INDEX('Change in Proportion Layers'!$Z$8:$Z$321,MATCH('OPEB Amounts_Report'!A84,'Change in Proportion Layers'!$A$8:$A$321,0))</f>
        <v>23699</v>
      </c>
      <c r="G84" s="70">
        <f t="shared" si="3"/>
        <v>185007</v>
      </c>
      <c r="H84" s="70"/>
      <c r="I84" s="70">
        <f>ROUND(VLOOKUP(A84,'Contribution Allocation_Report'!$A$9:$D$310,4,FALSE)*'OPEB Amounts_Report'!$I$323,0)</f>
        <v>119746</v>
      </c>
      <c r="J84" s="70">
        <f>ROUND(VLOOKUP(A84,'Contribution Allocation_Report'!$A$9:$D$310,4,FALSE)*'OPEB Amounts_Report'!$J$323,0)</f>
        <v>21523</v>
      </c>
      <c r="K84" s="70">
        <f>ROUND(VLOOKUP(A84,'Contribution Allocation_Report'!$A$9:$D$310,4,FALSE)*'OPEB Amounts_Report'!$K$323,0)</f>
        <v>271462</v>
      </c>
      <c r="L84" s="70">
        <f>INDEX('Change in Proportion Layers'!$AA$8:$AA$321,MATCH('OPEB Amounts_Report'!A84,'Change in Proportion Layers'!$A$8:$A$321,0))</f>
        <v>72577</v>
      </c>
      <c r="M84" s="70">
        <f t="shared" si="4"/>
        <v>485308</v>
      </c>
      <c r="N84" s="71"/>
      <c r="O84" s="71">
        <f>ROUND(VLOOKUP(A84,'Contribution Allocation_Report'!$A$9:$D$310,4,FALSE)*'OPEB Amounts_Report'!$O$323,0)</f>
        <v>-80861</v>
      </c>
      <c r="P84" s="71">
        <f>INDEX('Change in Proportion Layers'!$X$8:$X$321,MATCH('OPEB Amounts_Report'!A84,'Change in Proportion Layers'!$A$8:$A$321,0))</f>
        <v>-18962</v>
      </c>
      <c r="Q84" s="71">
        <f t="shared" si="5"/>
        <v>-99823</v>
      </c>
    </row>
    <row r="85" spans="1:17" ht="12" customHeight="1">
      <c r="A85" s="254">
        <v>2363</v>
      </c>
      <c r="B85" s="255" t="s">
        <v>75</v>
      </c>
      <c r="C85" s="89">
        <f>ROUND(VLOOKUP(A85,'Contribution Allocation_Report'!$A$9:$D$310,4,FALSE)*'OPEB Amounts_Report'!$C$323,0)</f>
        <v>978221</v>
      </c>
      <c r="D85" s="89">
        <f>ROUND(VLOOKUP(A85,'Contribution Allocation_Report'!$A$9:$D$310,4,FALSE)*'OPEB Amounts_Report'!$D$323,0)</f>
        <v>14303</v>
      </c>
      <c r="E85" s="89">
        <f>ROUND(VLOOKUP(A85,'Contribution Allocation_Report'!$A$9:$D$310,4,FALSE)*'OPEB Amounts_Report'!$E$323,0)</f>
        <v>195849</v>
      </c>
      <c r="F85" s="89">
        <f>INDEX('Change in Proportion Layers'!$Z$8:$Z$321,MATCH('OPEB Amounts_Report'!A85,'Change in Proportion Layers'!$A$8:$A$321,0))</f>
        <v>42851</v>
      </c>
      <c r="G85" s="89">
        <f t="shared" si="3"/>
        <v>253003</v>
      </c>
      <c r="H85" s="89"/>
      <c r="I85" s="89">
        <f>ROUND(VLOOKUP(A85,'Contribution Allocation_Report'!$A$9:$D$310,4,FALSE)*'OPEB Amounts_Report'!$I$323,0)</f>
        <v>156006</v>
      </c>
      <c r="J85" s="89">
        <f>ROUND(VLOOKUP(A85,'Contribution Allocation_Report'!$A$9:$D$310,4,FALSE)*'OPEB Amounts_Report'!$J$323,0)</f>
        <v>28040</v>
      </c>
      <c r="K85" s="89">
        <f>ROUND(VLOOKUP(A85,'Contribution Allocation_Report'!$A$9:$D$310,4,FALSE)*'OPEB Amounts_Report'!$K$323,0)</f>
        <v>353662</v>
      </c>
      <c r="L85" s="297">
        <f>INDEX('Change in Proportion Layers'!$AA$8:$AA$321,MATCH('OPEB Amounts_Report'!A85,'Change in Proportion Layers'!$A$8:$A$321,0))</f>
        <v>13533</v>
      </c>
      <c r="M85" s="89">
        <f t="shared" si="4"/>
        <v>551241</v>
      </c>
      <c r="N85" s="90"/>
      <c r="O85" s="90">
        <f>ROUND(VLOOKUP(A85,'Contribution Allocation_Report'!$A$9:$D$310,4,FALSE)*'OPEB Amounts_Report'!$O$323,0)</f>
        <v>-105346</v>
      </c>
      <c r="P85" s="90">
        <f>INDEX('Change in Proportion Layers'!$X$8:$X$321,MATCH('OPEB Amounts_Report'!A85,'Change in Proportion Layers'!$A$8:$A$321,0))</f>
        <v>4199</v>
      </c>
      <c r="Q85" s="90">
        <f t="shared" si="5"/>
        <v>-101147</v>
      </c>
    </row>
    <row r="86" spans="1:17" ht="12" customHeight="1">
      <c r="A86" s="62">
        <v>2364</v>
      </c>
      <c r="B86" s="66" t="s">
        <v>76</v>
      </c>
      <c r="C86" s="70">
        <f>ROUND(VLOOKUP(A86,'Contribution Allocation_Report'!$A$9:$D$310,4,FALSE)*'OPEB Amounts_Report'!$C$323,0)</f>
        <v>2532253</v>
      </c>
      <c r="D86" s="70">
        <f>ROUND(VLOOKUP(A86,'Contribution Allocation_Report'!$A$9:$D$310,4,FALSE)*'OPEB Amounts_Report'!$D$323,0)</f>
        <v>37025</v>
      </c>
      <c r="E86" s="70">
        <f>ROUND(VLOOKUP(A86,'Contribution Allocation_Report'!$A$9:$D$310,4,FALSE)*'OPEB Amounts_Report'!$E$323,0)</f>
        <v>506981</v>
      </c>
      <c r="F86" s="70">
        <f>INDEX('Change in Proportion Layers'!$Z$8:$Z$321,MATCH('OPEB Amounts_Report'!A86,'Change in Proportion Layers'!$A$8:$A$321,0))</f>
        <v>371813</v>
      </c>
      <c r="G86" s="70">
        <f t="shared" si="3"/>
        <v>915819</v>
      </c>
      <c r="H86" s="70"/>
      <c r="I86" s="70">
        <f>ROUND(VLOOKUP(A86,'Contribution Allocation_Report'!$A$9:$D$310,4,FALSE)*'OPEB Amounts_Report'!$I$323,0)</f>
        <v>403842</v>
      </c>
      <c r="J86" s="70">
        <f>ROUND(VLOOKUP(A86,'Contribution Allocation_Report'!$A$9:$D$310,4,FALSE)*'OPEB Amounts_Report'!$J$323,0)</f>
        <v>72585</v>
      </c>
      <c r="K86" s="70">
        <f>ROUND(VLOOKUP(A86,'Contribution Allocation_Report'!$A$9:$D$310,4,FALSE)*'OPEB Amounts_Report'!$K$323,0)</f>
        <v>915499</v>
      </c>
      <c r="L86" s="296">
        <f>INDEX('Change in Proportion Layers'!$AA$8:$AA$321,MATCH('OPEB Amounts_Report'!A86,'Change in Proportion Layers'!$A$8:$A$321,0))</f>
        <v>71035</v>
      </c>
      <c r="M86" s="70">
        <f t="shared" si="4"/>
        <v>1462961</v>
      </c>
      <c r="N86" s="71"/>
      <c r="O86" s="71">
        <f>ROUND(VLOOKUP(A86,'Contribution Allocation_Report'!$A$9:$D$310,4,FALSE)*'OPEB Amounts_Report'!$O$323,0)</f>
        <v>-272702</v>
      </c>
      <c r="P86" s="71">
        <f>INDEX('Change in Proportion Layers'!$X$8:$X$321,MATCH('OPEB Amounts_Report'!A86,'Change in Proportion Layers'!$A$8:$A$321,0))</f>
        <v>44426</v>
      </c>
      <c r="Q86" s="71">
        <f t="shared" si="5"/>
        <v>-228276</v>
      </c>
    </row>
    <row r="87" spans="1:17" ht="12" customHeight="1">
      <c r="A87" s="254">
        <v>25319</v>
      </c>
      <c r="B87" s="255" t="s">
        <v>77</v>
      </c>
      <c r="C87" s="89">
        <f>ROUND(VLOOKUP(A87,'Contribution Allocation_Report'!$A$9:$D$310,4,FALSE)*'OPEB Amounts_Report'!$C$323,0)</f>
        <v>769284</v>
      </c>
      <c r="D87" s="89">
        <f>ROUND(VLOOKUP(A87,'Contribution Allocation_Report'!$A$9:$D$310,4,FALSE)*'OPEB Amounts_Report'!$D$323,0)</f>
        <v>11248</v>
      </c>
      <c r="E87" s="89">
        <f>ROUND(VLOOKUP(A87,'Contribution Allocation_Report'!$A$9:$D$310,4,FALSE)*'OPEB Amounts_Report'!$E$323,0)</f>
        <v>154018</v>
      </c>
      <c r="F87" s="89">
        <f>INDEX('Change in Proportion Layers'!$Z$8:$Z$321,MATCH('OPEB Amounts_Report'!A87,'Change in Proportion Layers'!$A$8:$A$321,0))</f>
        <v>129093</v>
      </c>
      <c r="G87" s="89">
        <f t="shared" si="3"/>
        <v>294359</v>
      </c>
      <c r="H87" s="89"/>
      <c r="I87" s="89">
        <f>ROUND(VLOOKUP(A87,'Contribution Allocation_Report'!$A$9:$D$310,4,FALSE)*'OPEB Amounts_Report'!$I$323,0)</f>
        <v>122685</v>
      </c>
      <c r="J87" s="89">
        <f>ROUND(VLOOKUP(A87,'Contribution Allocation_Report'!$A$9:$D$310,4,FALSE)*'OPEB Amounts_Report'!$J$323,0)</f>
        <v>22051</v>
      </c>
      <c r="K87" s="89">
        <f>ROUND(VLOOKUP(A87,'Contribution Allocation_Report'!$A$9:$D$310,4,FALSE)*'OPEB Amounts_Report'!$K$323,0)</f>
        <v>278123</v>
      </c>
      <c r="L87" s="89">
        <f>INDEX('Change in Proportion Layers'!$AA$8:$AA$321,MATCH('OPEB Amounts_Report'!A87,'Change in Proportion Layers'!$A$8:$A$321,0))</f>
        <v>0</v>
      </c>
      <c r="M87" s="89">
        <f t="shared" si="4"/>
        <v>422859</v>
      </c>
      <c r="N87" s="90"/>
      <c r="O87" s="90">
        <f>ROUND(VLOOKUP(A87,'Contribution Allocation_Report'!$A$9:$D$310,4,FALSE)*'OPEB Amounts_Report'!$O$323,0)</f>
        <v>-82845</v>
      </c>
      <c r="P87" s="90">
        <f>INDEX('Change in Proportion Layers'!$X$8:$X$321,MATCH('OPEB Amounts_Report'!A87,'Change in Proportion Layers'!$A$8:$A$321,0))</f>
        <v>32280</v>
      </c>
      <c r="Q87" s="90">
        <f t="shared" si="5"/>
        <v>-50565</v>
      </c>
    </row>
    <row r="88" spans="1:17" ht="12" customHeight="1">
      <c r="A88" s="62">
        <v>29087</v>
      </c>
      <c r="B88" s="66" t="s">
        <v>78</v>
      </c>
      <c r="C88" s="70">
        <f>ROUND(VLOOKUP(A88,'Contribution Allocation_Report'!$A$9:$D$310,4,FALSE)*'OPEB Amounts_Report'!$C$323,0)</f>
        <v>4456779</v>
      </c>
      <c r="D88" s="70">
        <f>ROUND(VLOOKUP(A88,'Contribution Allocation_Report'!$A$9:$D$310,4,FALSE)*'OPEB Amounts_Report'!$D$323,0)</f>
        <v>65164</v>
      </c>
      <c r="E88" s="70">
        <f>ROUND(VLOOKUP(A88,'Contribution Allocation_Report'!$A$9:$D$310,4,FALSE)*'OPEB Amounts_Report'!$E$323,0)</f>
        <v>892288</v>
      </c>
      <c r="F88" s="70">
        <f>INDEX('Change in Proportion Layers'!$Z$8:$Z$321,MATCH('OPEB Amounts_Report'!A88,'Change in Proportion Layers'!$A$8:$A$321,0))</f>
        <v>980177</v>
      </c>
      <c r="G88" s="70">
        <f t="shared" si="3"/>
        <v>1937629</v>
      </c>
      <c r="H88" s="70"/>
      <c r="I88" s="70">
        <f>ROUND(VLOOKUP(A88,'Contribution Allocation_Report'!$A$9:$D$310,4,FALSE)*'OPEB Amounts_Report'!$I$323,0)</f>
        <v>710764</v>
      </c>
      <c r="J88" s="70">
        <f>ROUND(VLOOKUP(A88,'Contribution Allocation_Report'!$A$9:$D$310,4,FALSE)*'OPEB Amounts_Report'!$J$323,0)</f>
        <v>127750</v>
      </c>
      <c r="K88" s="70">
        <f>ROUND(VLOOKUP(A88,'Contribution Allocation_Report'!$A$9:$D$310,4,FALSE)*'OPEB Amounts_Report'!$K$323,0)</f>
        <v>1611284</v>
      </c>
      <c r="L88" s="70">
        <f>INDEX('Change in Proportion Layers'!$AA$8:$AA$321,MATCH('OPEB Amounts_Report'!A88,'Change in Proportion Layers'!$A$8:$A$321,0))</f>
        <v>203857</v>
      </c>
      <c r="M88" s="70">
        <f t="shared" si="4"/>
        <v>2653655</v>
      </c>
      <c r="N88" s="71"/>
      <c r="O88" s="71">
        <f>ROUND(VLOOKUP(A88,'Contribution Allocation_Report'!$A$9:$D$310,4,FALSE)*'OPEB Amounts_Report'!$O$323,0)</f>
        <v>-479958</v>
      </c>
      <c r="P88" s="71">
        <f>INDEX('Change in Proportion Layers'!$X$8:$X$321,MATCH('OPEB Amounts_Report'!A88,'Change in Proportion Layers'!$A$8:$A$321,0))</f>
        <v>231064</v>
      </c>
      <c r="Q88" s="71">
        <f t="shared" si="5"/>
        <v>-248894</v>
      </c>
    </row>
    <row r="89" spans="1:17" ht="12" customHeight="1">
      <c r="A89" s="254">
        <v>3060</v>
      </c>
      <c r="B89" s="255" t="s">
        <v>79</v>
      </c>
      <c r="C89" s="89">
        <f>ROUND(VLOOKUP(A89,'Contribution Allocation_Report'!$A$9:$D$310,4,FALSE)*'OPEB Amounts_Report'!$C$323,0)</f>
        <v>3932955</v>
      </c>
      <c r="D89" s="89">
        <f>ROUND(VLOOKUP(A89,'Contribution Allocation_Report'!$A$9:$D$310,4,FALSE)*'OPEB Amounts_Report'!$D$323,0)</f>
        <v>57505</v>
      </c>
      <c r="E89" s="89">
        <f>ROUND(VLOOKUP(A89,'Contribution Allocation_Report'!$A$9:$D$310,4,FALSE)*'OPEB Amounts_Report'!$E$323,0)</f>
        <v>787414</v>
      </c>
      <c r="F89" s="89">
        <f>INDEX('Change in Proportion Layers'!$Z$8:$Z$321,MATCH('OPEB Amounts_Report'!A89,'Change in Proportion Layers'!$A$8:$A$321,0))</f>
        <v>92296</v>
      </c>
      <c r="G89" s="89">
        <f t="shared" si="3"/>
        <v>937215</v>
      </c>
      <c r="H89" s="89"/>
      <c r="I89" s="89">
        <f>ROUND(VLOOKUP(A89,'Contribution Allocation_Report'!$A$9:$D$310,4,FALSE)*'OPEB Amounts_Report'!$I$323,0)</f>
        <v>627225</v>
      </c>
      <c r="J89" s="89">
        <f>ROUND(VLOOKUP(A89,'Contribution Allocation_Report'!$A$9:$D$310,4,FALSE)*'OPEB Amounts_Report'!$J$323,0)</f>
        <v>112735</v>
      </c>
      <c r="K89" s="89">
        <f>ROUND(VLOOKUP(A89,'Contribution Allocation_Report'!$A$9:$D$310,4,FALSE)*'OPEB Amounts_Report'!$K$323,0)</f>
        <v>1421903</v>
      </c>
      <c r="L89" s="89">
        <f>INDEX('Change in Proportion Layers'!$AA$8:$AA$321,MATCH('OPEB Amounts_Report'!A89,'Change in Proportion Layers'!$A$8:$A$321,0))</f>
        <v>719209</v>
      </c>
      <c r="M89" s="89">
        <f t="shared" si="4"/>
        <v>2881072</v>
      </c>
      <c r="N89" s="90"/>
      <c r="O89" s="90">
        <f>ROUND(VLOOKUP(A89,'Contribution Allocation_Report'!$A$9:$D$310,4,FALSE)*'OPEB Amounts_Report'!$O$323,0)</f>
        <v>-423546</v>
      </c>
      <c r="P89" s="90">
        <f>INDEX('Change in Proportion Layers'!$X$8:$X$321,MATCH('OPEB Amounts_Report'!A89,'Change in Proportion Layers'!$A$8:$A$321,0))</f>
        <v>-147394</v>
      </c>
      <c r="Q89" s="90">
        <f t="shared" si="5"/>
        <v>-570940</v>
      </c>
    </row>
    <row r="90" spans="1:17" ht="12" customHeight="1">
      <c r="A90" s="62">
        <v>19301</v>
      </c>
      <c r="B90" s="66" t="s">
        <v>80</v>
      </c>
      <c r="C90" s="70">
        <f>ROUND(VLOOKUP(A90,'Contribution Allocation_Report'!$A$9:$D$310,4,FALSE)*'OPEB Amounts_Report'!$C$323,0)</f>
        <v>587986</v>
      </c>
      <c r="D90" s="70">
        <f>ROUND(VLOOKUP(A90,'Contribution Allocation_Report'!$A$9:$D$310,4,FALSE)*'OPEB Amounts_Report'!$D$323,0)</f>
        <v>8597</v>
      </c>
      <c r="E90" s="70">
        <f>ROUND(VLOOKUP(A90,'Contribution Allocation_Report'!$A$9:$D$310,4,FALSE)*'OPEB Amounts_Report'!$E$323,0)</f>
        <v>117720</v>
      </c>
      <c r="F90" s="70">
        <f>INDEX('Change in Proportion Layers'!$Z$8:$Z$321,MATCH('OPEB Amounts_Report'!A90,'Change in Proportion Layers'!$A$8:$A$321,0))</f>
        <v>1210</v>
      </c>
      <c r="G90" s="70">
        <f t="shared" si="3"/>
        <v>127527</v>
      </c>
      <c r="H90" s="70"/>
      <c r="I90" s="70">
        <f>ROUND(VLOOKUP(A90,'Contribution Allocation_Report'!$A$9:$D$310,4,FALSE)*'OPEB Amounts_Report'!$I$323,0)</f>
        <v>93771</v>
      </c>
      <c r="J90" s="70">
        <f>ROUND(VLOOKUP(A90,'Contribution Allocation_Report'!$A$9:$D$310,4,FALSE)*'OPEB Amounts_Report'!$J$323,0)</f>
        <v>16854</v>
      </c>
      <c r="K90" s="70">
        <f>ROUND(VLOOKUP(A90,'Contribution Allocation_Report'!$A$9:$D$310,4,FALSE)*'OPEB Amounts_Report'!$K$323,0)</f>
        <v>212578</v>
      </c>
      <c r="L90" s="70">
        <f>INDEX('Change in Proportion Layers'!$AA$8:$AA$321,MATCH('OPEB Amounts_Report'!A90,'Change in Proportion Layers'!$A$8:$A$321,0))</f>
        <v>149928</v>
      </c>
      <c r="M90" s="70">
        <f t="shared" si="4"/>
        <v>473131</v>
      </c>
      <c r="N90" s="71"/>
      <c r="O90" s="71">
        <f>ROUND(VLOOKUP(A90,'Contribution Allocation_Report'!$A$9:$D$310,4,FALSE)*'OPEB Amounts_Report'!$O$323,0)</f>
        <v>-63321</v>
      </c>
      <c r="P90" s="71">
        <f>INDEX('Change in Proportion Layers'!$X$8:$X$321,MATCH('OPEB Amounts_Report'!A90,'Change in Proportion Layers'!$A$8:$A$321,0))</f>
        <v>-45471</v>
      </c>
      <c r="Q90" s="71">
        <f t="shared" si="5"/>
        <v>-108792</v>
      </c>
    </row>
    <row r="91" spans="1:17" ht="12" customHeight="1">
      <c r="A91" s="254">
        <v>19059</v>
      </c>
      <c r="B91" s="255" t="s">
        <v>81</v>
      </c>
      <c r="C91" s="89">
        <f>ROUND(VLOOKUP(A91,'Contribution Allocation_Report'!$A$9:$D$310,4,FALSE)*'OPEB Amounts_Report'!$C$323,0)</f>
        <v>23046597</v>
      </c>
      <c r="D91" s="89">
        <f>ROUND(VLOOKUP(A91,'Contribution Allocation_Report'!$A$9:$D$310,4,FALSE)*'OPEB Amounts_Report'!$D$323,0)</f>
        <v>336972</v>
      </c>
      <c r="E91" s="89">
        <f>ROUND(VLOOKUP(A91,'Contribution Allocation_Report'!$A$9:$D$310,4,FALSE)*'OPEB Amounts_Report'!$E$323,0)</f>
        <v>4614142</v>
      </c>
      <c r="F91" s="89">
        <f>INDEX('Change in Proportion Layers'!$Z$8:$Z$321,MATCH('OPEB Amounts_Report'!A91,'Change in Proportion Layers'!$A$8:$A$321,0))</f>
        <v>2080180</v>
      </c>
      <c r="G91" s="89">
        <f t="shared" si="3"/>
        <v>7031294</v>
      </c>
      <c r="H91" s="89"/>
      <c r="I91" s="89">
        <f>ROUND(VLOOKUP(A91,'Contribution Allocation_Report'!$A$9:$D$310,4,FALSE)*'OPEB Amounts_Report'!$I$323,0)</f>
        <v>3675453</v>
      </c>
      <c r="J91" s="89">
        <f>ROUND(VLOOKUP(A91,'Contribution Allocation_Report'!$A$9:$D$310,4,FALSE)*'OPEB Amounts_Report'!$J$323,0)</f>
        <v>660611</v>
      </c>
      <c r="K91" s="89">
        <f>ROUND(VLOOKUP(A91,'Contribution Allocation_Report'!$A$9:$D$310,4,FALSE)*'OPEB Amounts_Report'!$K$323,0)</f>
        <v>8332162</v>
      </c>
      <c r="L91" s="297">
        <f>INDEX('Change in Proportion Layers'!$AA$8:$AA$321,MATCH('OPEB Amounts_Report'!A91,'Change in Proportion Layers'!$A$8:$A$321,0))</f>
        <v>722540</v>
      </c>
      <c r="M91" s="89">
        <f t="shared" si="4"/>
        <v>13390766</v>
      </c>
      <c r="N91" s="90"/>
      <c r="O91" s="90">
        <f>ROUND(VLOOKUP(A91,'Contribution Allocation_Report'!$A$9:$D$310,4,FALSE)*'OPEB Amounts_Report'!$O$323,0)</f>
        <v>-2481926</v>
      </c>
      <c r="P91" s="90">
        <f>INDEX('Change in Proportion Layers'!$X$8:$X$321,MATCH('OPEB Amounts_Report'!A91,'Change in Proportion Layers'!$A$8:$A$321,0))</f>
        <v>320469</v>
      </c>
      <c r="Q91" s="90">
        <f t="shared" si="5"/>
        <v>-2161457</v>
      </c>
    </row>
    <row r="92" spans="1:17" ht="12" customHeight="1">
      <c r="A92" s="62">
        <v>18057</v>
      </c>
      <c r="B92" s="66" t="s">
        <v>82</v>
      </c>
      <c r="C92" s="70">
        <f>ROUND(VLOOKUP(A92,'Contribution Allocation_Report'!$A$9:$D$310,4,FALSE)*'OPEB Amounts_Report'!$C$323,0)</f>
        <v>844304</v>
      </c>
      <c r="D92" s="70">
        <f>ROUND(VLOOKUP(A92,'Contribution Allocation_Report'!$A$9:$D$310,4,FALSE)*'OPEB Amounts_Report'!$D$323,0)</f>
        <v>12345</v>
      </c>
      <c r="E92" s="70">
        <f>ROUND(VLOOKUP(A92,'Contribution Allocation_Report'!$A$9:$D$310,4,FALSE)*'OPEB Amounts_Report'!$E$323,0)</f>
        <v>169037</v>
      </c>
      <c r="F92" s="70">
        <f>INDEX('Change in Proportion Layers'!$Z$8:$Z$321,MATCH('OPEB Amounts_Report'!A92,'Change in Proportion Layers'!$A$8:$A$321,0))</f>
        <v>32280</v>
      </c>
      <c r="G92" s="70">
        <f t="shared" si="3"/>
        <v>213662</v>
      </c>
      <c r="H92" s="70"/>
      <c r="I92" s="70">
        <f>ROUND(VLOOKUP(A92,'Contribution Allocation_Report'!$A$9:$D$310,4,FALSE)*'OPEB Amounts_Report'!$I$323,0)</f>
        <v>134649</v>
      </c>
      <c r="J92" s="70">
        <f>ROUND(VLOOKUP(A92,'Contribution Allocation_Report'!$A$9:$D$310,4,FALSE)*'OPEB Amounts_Report'!$J$323,0)</f>
        <v>24201</v>
      </c>
      <c r="K92" s="70">
        <f>ROUND(VLOOKUP(A92,'Contribution Allocation_Report'!$A$9:$D$310,4,FALSE)*'OPEB Amounts_Report'!$K$323,0)</f>
        <v>305246</v>
      </c>
      <c r="L92" s="296">
        <f>INDEX('Change in Proportion Layers'!$AA$8:$AA$321,MATCH('OPEB Amounts_Report'!A92,'Change in Proportion Layers'!$A$8:$A$321,0))</f>
        <v>37586</v>
      </c>
      <c r="M92" s="70">
        <f t="shared" si="4"/>
        <v>501682</v>
      </c>
      <c r="N92" s="71"/>
      <c r="O92" s="71">
        <f>ROUND(VLOOKUP(A92,'Contribution Allocation_Report'!$A$9:$D$310,4,FALSE)*'OPEB Amounts_Report'!$O$323,0)</f>
        <v>-90924</v>
      </c>
      <c r="P92" s="71">
        <f>INDEX('Change in Proportion Layers'!$X$8:$X$321,MATCH('OPEB Amounts_Report'!A92,'Change in Proportion Layers'!$A$8:$A$321,0))</f>
        <v>2800</v>
      </c>
      <c r="Q92" s="71">
        <f t="shared" si="5"/>
        <v>-88124</v>
      </c>
    </row>
    <row r="93" spans="1:17" ht="12" customHeight="1">
      <c r="A93" s="254">
        <v>4008</v>
      </c>
      <c r="B93" s="255" t="s">
        <v>83</v>
      </c>
      <c r="C93" s="89">
        <f>ROUND(VLOOKUP(A93,'Contribution Allocation_Report'!$A$9:$D$310,4,FALSE)*'OPEB Amounts_Report'!$C$323,0)</f>
        <v>3846419</v>
      </c>
      <c r="D93" s="89">
        <f>ROUND(VLOOKUP(A93,'Contribution Allocation_Report'!$A$9:$D$310,4,FALSE)*'OPEB Amounts_Report'!$D$323,0)</f>
        <v>56240</v>
      </c>
      <c r="E93" s="89">
        <f>ROUND(VLOOKUP(A93,'Contribution Allocation_Report'!$A$9:$D$310,4,FALSE)*'OPEB Amounts_Report'!$E$323,0)</f>
        <v>770089</v>
      </c>
      <c r="F93" s="89">
        <f>INDEX('Change in Proportion Layers'!$Z$8:$Z$321,MATCH('OPEB Amounts_Report'!A93,'Change in Proportion Layers'!$A$8:$A$321,0))</f>
        <v>132291</v>
      </c>
      <c r="G93" s="89">
        <f t="shared" si="3"/>
        <v>958620</v>
      </c>
      <c r="H93" s="89"/>
      <c r="I93" s="89">
        <f>ROUND(VLOOKUP(A93,'Contribution Allocation_Report'!$A$9:$D$310,4,FALSE)*'OPEB Amounts_Report'!$I$323,0)</f>
        <v>613424</v>
      </c>
      <c r="J93" s="89">
        <f>ROUND(VLOOKUP(A93,'Contribution Allocation_Report'!$A$9:$D$310,4,FALSE)*'OPEB Amounts_Report'!$J$323,0)</f>
        <v>110254</v>
      </c>
      <c r="K93" s="89">
        <f>ROUND(VLOOKUP(A93,'Contribution Allocation_Report'!$A$9:$D$310,4,FALSE)*'OPEB Amounts_Report'!$K$323,0)</f>
        <v>1390617</v>
      </c>
      <c r="L93" s="89">
        <f>INDEX('Change in Proportion Layers'!$AA$8:$AA$321,MATCH('OPEB Amounts_Report'!A93,'Change in Proportion Layers'!$A$8:$A$321,0))</f>
        <v>508598</v>
      </c>
      <c r="M93" s="89">
        <f t="shared" si="4"/>
        <v>2622893</v>
      </c>
      <c r="N93" s="90"/>
      <c r="O93" s="90">
        <f>ROUND(VLOOKUP(A93,'Contribution Allocation_Report'!$A$9:$D$310,4,FALSE)*'OPEB Amounts_Report'!$O$323,0)</f>
        <v>-414227</v>
      </c>
      <c r="P93" s="90">
        <f>INDEX('Change in Proportion Layers'!$X$8:$X$321,MATCH('OPEB Amounts_Report'!A93,'Change in Proportion Layers'!$A$8:$A$321,0))</f>
        <v>-186683</v>
      </c>
      <c r="Q93" s="90">
        <f t="shared" si="5"/>
        <v>-600910</v>
      </c>
    </row>
    <row r="94" spans="1:17" ht="12" customHeight="1">
      <c r="A94" s="62">
        <v>2350</v>
      </c>
      <c r="B94" s="66" t="s">
        <v>84</v>
      </c>
      <c r="C94" s="70">
        <f>ROUND(VLOOKUP(A94,'Contribution Allocation_Report'!$A$9:$D$310,4,FALSE)*'OPEB Amounts_Report'!$C$323,0)</f>
        <v>1272049</v>
      </c>
      <c r="D94" s="70">
        <f>ROUND(VLOOKUP(A94,'Contribution Allocation_Report'!$A$9:$D$310,4,FALSE)*'OPEB Amounts_Report'!$D$323,0)</f>
        <v>18599</v>
      </c>
      <c r="E94" s="70">
        <f>ROUND(VLOOKUP(A94,'Contribution Allocation_Report'!$A$9:$D$310,4,FALSE)*'OPEB Amounts_Report'!$E$323,0)</f>
        <v>254676</v>
      </c>
      <c r="F94" s="70">
        <f>INDEX('Change in Proportion Layers'!$Z$8:$Z$321,MATCH('OPEB Amounts_Report'!A94,'Change in Proportion Layers'!$A$8:$A$321,0))</f>
        <v>203331</v>
      </c>
      <c r="G94" s="70">
        <f t="shared" si="3"/>
        <v>476606</v>
      </c>
      <c r="H94" s="70"/>
      <c r="I94" s="70">
        <f>ROUND(VLOOKUP(A94,'Contribution Allocation_Report'!$A$9:$D$310,4,FALSE)*'OPEB Amounts_Report'!$I$323,0)</f>
        <v>202865</v>
      </c>
      <c r="J94" s="70">
        <f>ROUND(VLOOKUP(A94,'Contribution Allocation_Report'!$A$9:$D$310,4,FALSE)*'OPEB Amounts_Report'!$J$323,0)</f>
        <v>36462</v>
      </c>
      <c r="K94" s="70">
        <f>ROUND(VLOOKUP(A94,'Contribution Allocation_Report'!$A$9:$D$310,4,FALSE)*'OPEB Amounts_Report'!$K$323,0)</f>
        <v>459891</v>
      </c>
      <c r="L94" s="70">
        <f>INDEX('Change in Proportion Layers'!$AA$8:$AA$321,MATCH('OPEB Amounts_Report'!A94,'Change in Proportion Layers'!$A$8:$A$321,0))</f>
        <v>81634</v>
      </c>
      <c r="M94" s="70">
        <f t="shared" si="4"/>
        <v>780852</v>
      </c>
      <c r="N94" s="71"/>
      <c r="O94" s="71">
        <f>ROUND(VLOOKUP(A94,'Contribution Allocation_Report'!$A$9:$D$310,4,FALSE)*'OPEB Amounts_Report'!$O$323,0)</f>
        <v>-136989</v>
      </c>
      <c r="P94" s="71">
        <f>INDEX('Change in Proportion Layers'!$X$8:$X$321,MATCH('OPEB Amounts_Report'!A94,'Change in Proportion Layers'!$A$8:$A$321,0))</f>
        <v>-2481</v>
      </c>
      <c r="Q94" s="71">
        <f t="shared" si="5"/>
        <v>-139470</v>
      </c>
    </row>
    <row r="95" spans="1:17" ht="12" customHeight="1">
      <c r="A95" s="254">
        <v>11117</v>
      </c>
      <c r="B95" s="255" t="s">
        <v>85</v>
      </c>
      <c r="C95" s="89">
        <f>ROUND(VLOOKUP(A95,'Contribution Allocation_Report'!$A$9:$D$310,4,FALSE)*'OPEB Amounts_Report'!$C$323,0)</f>
        <v>1423734</v>
      </c>
      <c r="D95" s="89">
        <f>ROUND(VLOOKUP(A95,'Contribution Allocation_Report'!$A$9:$D$310,4,FALSE)*'OPEB Amounts_Report'!$D$323,0)</f>
        <v>20817</v>
      </c>
      <c r="E95" s="89">
        <f>ROUND(VLOOKUP(A95,'Contribution Allocation_Report'!$A$9:$D$310,4,FALSE)*'OPEB Amounts_Report'!$E$323,0)</f>
        <v>285045</v>
      </c>
      <c r="F95" s="89">
        <f>INDEX('Change in Proportion Layers'!$Z$8:$Z$321,MATCH('OPEB Amounts_Report'!A95,'Change in Proportion Layers'!$A$8:$A$321,0))</f>
        <v>47359</v>
      </c>
      <c r="G95" s="89">
        <f t="shared" si="3"/>
        <v>353221</v>
      </c>
      <c r="H95" s="89"/>
      <c r="I95" s="89">
        <f>ROUND(VLOOKUP(A95,'Contribution Allocation_Report'!$A$9:$D$310,4,FALSE)*'OPEB Amounts_Report'!$I$323,0)</f>
        <v>227056</v>
      </c>
      <c r="J95" s="89">
        <f>ROUND(VLOOKUP(A95,'Contribution Allocation_Report'!$A$9:$D$310,4,FALSE)*'OPEB Amounts_Report'!$J$323,0)</f>
        <v>40810</v>
      </c>
      <c r="K95" s="89">
        <f>ROUND(VLOOKUP(A95,'Contribution Allocation_Report'!$A$9:$D$310,4,FALSE)*'OPEB Amounts_Report'!$K$323,0)</f>
        <v>514730</v>
      </c>
      <c r="L95" s="297">
        <f>INDEX('Change in Proportion Layers'!$AA$8:$AA$321,MATCH('OPEB Amounts_Report'!A95,'Change in Proportion Layers'!$A$8:$A$321,0))</f>
        <v>27299</v>
      </c>
      <c r="M95" s="89">
        <f t="shared" si="4"/>
        <v>809895</v>
      </c>
      <c r="N95" s="90"/>
      <c r="O95" s="90">
        <f>ROUND(VLOOKUP(A95,'Contribution Allocation_Report'!$A$9:$D$310,4,FALSE)*'OPEB Amounts_Report'!$O$323,0)</f>
        <v>-153324</v>
      </c>
      <c r="P95" s="90">
        <f>INDEX('Change in Proportion Layers'!$X$8:$X$321,MATCH('OPEB Amounts_Report'!A95,'Change in Proportion Layers'!$A$8:$A$321,0))</f>
        <v>-2210</v>
      </c>
      <c r="Q95" s="90">
        <f t="shared" si="5"/>
        <v>-155534</v>
      </c>
    </row>
    <row r="96" spans="1:17" ht="12" customHeight="1">
      <c r="A96" s="62">
        <v>16359</v>
      </c>
      <c r="B96" s="66" t="s">
        <v>86</v>
      </c>
      <c r="C96" s="70">
        <f>ROUND(VLOOKUP(A96,'Contribution Allocation_Report'!$A$9:$D$310,4,FALSE)*'OPEB Amounts_Report'!$C$323,0)</f>
        <v>229337</v>
      </c>
      <c r="D96" s="70">
        <f>ROUND(VLOOKUP(A96,'Contribution Allocation_Report'!$A$9:$D$310,4,FALSE)*'OPEB Amounts_Report'!$D$323,0)</f>
        <v>3353</v>
      </c>
      <c r="E96" s="70">
        <f>ROUND(VLOOKUP(A96,'Contribution Allocation_Report'!$A$9:$D$310,4,FALSE)*'OPEB Amounts_Report'!$E$323,0)</f>
        <v>45915</v>
      </c>
      <c r="F96" s="70">
        <f>INDEX('Change in Proportion Layers'!$Z$8:$Z$321,MATCH('OPEB Amounts_Report'!A96,'Change in Proportion Layers'!$A$8:$A$321,0))</f>
        <v>78808</v>
      </c>
      <c r="G96" s="70">
        <f t="shared" si="3"/>
        <v>128076</v>
      </c>
      <c r="H96" s="70"/>
      <c r="I96" s="70">
        <f>ROUND(VLOOKUP(A96,'Contribution Allocation_Report'!$A$9:$D$310,4,FALSE)*'OPEB Amounts_Report'!$I$323,0)</f>
        <v>36575</v>
      </c>
      <c r="J96" s="70">
        <f>ROUND(VLOOKUP(A96,'Contribution Allocation_Report'!$A$9:$D$310,4,FALSE)*'OPEB Amounts_Report'!$J$323,0)</f>
        <v>6574</v>
      </c>
      <c r="K96" s="70">
        <f>ROUND(VLOOKUP(A96,'Contribution Allocation_Report'!$A$9:$D$310,4,FALSE)*'OPEB Amounts_Report'!$K$323,0)</f>
        <v>82914</v>
      </c>
      <c r="L96" s="296">
        <f>INDEX('Change in Proportion Layers'!$AA$8:$AA$321,MATCH('OPEB Amounts_Report'!A96,'Change in Proportion Layers'!$A$8:$A$321,0))</f>
        <v>25101</v>
      </c>
      <c r="M96" s="70">
        <f t="shared" si="4"/>
        <v>151164</v>
      </c>
      <c r="N96" s="71"/>
      <c r="O96" s="71">
        <f>ROUND(VLOOKUP(A96,'Contribution Allocation_Report'!$A$9:$D$310,4,FALSE)*'OPEB Amounts_Report'!$O$323,0)</f>
        <v>-24698</v>
      </c>
      <c r="P96" s="71">
        <f>INDEX('Change in Proportion Layers'!$X$8:$X$321,MATCH('OPEB Amounts_Report'!A96,'Change in Proportion Layers'!$A$8:$A$321,0))</f>
        <v>15539</v>
      </c>
      <c r="Q96" s="71">
        <f t="shared" si="5"/>
        <v>-9159</v>
      </c>
    </row>
    <row r="97" spans="1:17" ht="12" customHeight="1">
      <c r="A97" s="254">
        <v>17115</v>
      </c>
      <c r="B97" s="255" t="s">
        <v>87</v>
      </c>
      <c r="C97" s="89">
        <f>ROUND(VLOOKUP(A97,'Contribution Allocation_Report'!$A$9:$D$310,4,FALSE)*'OPEB Amounts_Report'!$C$323,0)</f>
        <v>3968162</v>
      </c>
      <c r="D97" s="89">
        <f>ROUND(VLOOKUP(A97,'Contribution Allocation_Report'!$A$9:$D$310,4,FALSE)*'OPEB Amounts_Report'!$D$323,0)</f>
        <v>58020</v>
      </c>
      <c r="E97" s="89">
        <f>ROUND(VLOOKUP(A97,'Contribution Allocation_Report'!$A$9:$D$310,4,FALSE)*'OPEB Amounts_Report'!$E$323,0)</f>
        <v>794463</v>
      </c>
      <c r="F97" s="89">
        <f>INDEX('Change in Proportion Layers'!$Z$8:$Z$321,MATCH('OPEB Amounts_Report'!A97,'Change in Proportion Layers'!$A$8:$A$321,0))</f>
        <v>261846</v>
      </c>
      <c r="G97" s="89">
        <f t="shared" si="3"/>
        <v>1114329</v>
      </c>
      <c r="H97" s="89"/>
      <c r="I97" s="89">
        <f>ROUND(VLOOKUP(A97,'Contribution Allocation_Report'!$A$9:$D$310,4,FALSE)*'OPEB Amounts_Report'!$I$323,0)</f>
        <v>632839</v>
      </c>
      <c r="J97" s="89">
        <f>ROUND(VLOOKUP(A97,'Contribution Allocation_Report'!$A$9:$D$310,4,FALSE)*'OPEB Amounts_Report'!$J$323,0)</f>
        <v>113744</v>
      </c>
      <c r="K97" s="89">
        <f>ROUND(VLOOKUP(A97,'Contribution Allocation_Report'!$A$9:$D$310,4,FALSE)*'OPEB Amounts_Report'!$K$323,0)</f>
        <v>1434631</v>
      </c>
      <c r="L97" s="89">
        <f>INDEX('Change in Proportion Layers'!$AA$8:$AA$321,MATCH('OPEB Amounts_Report'!A97,'Change in Proportion Layers'!$A$8:$A$321,0))</f>
        <v>497303</v>
      </c>
      <c r="M97" s="89">
        <f t="shared" si="4"/>
        <v>2678517</v>
      </c>
      <c r="N97" s="90"/>
      <c r="O97" s="90">
        <f>ROUND(VLOOKUP(A97,'Contribution Allocation_Report'!$A$9:$D$310,4,FALSE)*'OPEB Amounts_Report'!$O$323,0)</f>
        <v>-427338</v>
      </c>
      <c r="P97" s="90">
        <f>INDEX('Change in Proportion Layers'!$X$8:$X$321,MATCH('OPEB Amounts_Report'!A97,'Change in Proportion Layers'!$A$8:$A$321,0))</f>
        <v>7481</v>
      </c>
      <c r="Q97" s="90">
        <f t="shared" si="5"/>
        <v>-419857</v>
      </c>
    </row>
    <row r="98" spans="1:17" ht="12" customHeight="1">
      <c r="A98" s="62">
        <v>32117</v>
      </c>
      <c r="B98" s="66" t="s">
        <v>88</v>
      </c>
      <c r="C98" s="70">
        <f>ROUND(VLOOKUP(A98,'Contribution Allocation_Report'!$A$9:$D$310,4,FALSE)*'OPEB Amounts_Report'!$C$323,0)</f>
        <v>261254</v>
      </c>
      <c r="D98" s="70">
        <f>ROUND(VLOOKUP(A98,'Contribution Allocation_Report'!$A$9:$D$310,4,FALSE)*'OPEB Amounts_Report'!$D$323,0)</f>
        <v>3820</v>
      </c>
      <c r="E98" s="70">
        <f>ROUND(VLOOKUP(A98,'Contribution Allocation_Report'!$A$9:$D$310,4,FALSE)*'OPEB Amounts_Report'!$E$323,0)</f>
        <v>52305</v>
      </c>
      <c r="F98" s="70">
        <f>INDEX('Change in Proportion Layers'!$Z$8:$Z$321,MATCH('OPEB Amounts_Report'!A98,'Change in Proportion Layers'!$A$8:$A$321,0))</f>
        <v>100398</v>
      </c>
      <c r="G98" s="70">
        <f t="shared" si="3"/>
        <v>156523</v>
      </c>
      <c r="H98" s="70"/>
      <c r="I98" s="70">
        <f>ROUND(VLOOKUP(A98,'Contribution Allocation_Report'!$A$9:$D$310,4,FALSE)*'OPEB Amounts_Report'!$I$323,0)</f>
        <v>41665</v>
      </c>
      <c r="J98" s="70">
        <f>ROUND(VLOOKUP(A98,'Contribution Allocation_Report'!$A$9:$D$310,4,FALSE)*'OPEB Amounts_Report'!$J$323,0)</f>
        <v>7489</v>
      </c>
      <c r="K98" s="70">
        <f>ROUND(VLOOKUP(A98,'Contribution Allocation_Report'!$A$9:$D$310,4,FALSE)*'OPEB Amounts_Report'!$K$323,0)</f>
        <v>94453</v>
      </c>
      <c r="L98" s="70">
        <f>INDEX('Change in Proportion Layers'!$AA$8:$AA$321,MATCH('OPEB Amounts_Report'!A98,'Change in Proportion Layers'!$A$8:$A$321,0))</f>
        <v>3330</v>
      </c>
      <c r="M98" s="70">
        <f t="shared" si="4"/>
        <v>146937</v>
      </c>
      <c r="N98" s="71"/>
      <c r="O98" s="71">
        <f>ROUND(VLOOKUP(A98,'Contribution Allocation_Report'!$A$9:$D$310,4,FALSE)*'OPEB Amounts_Report'!$O$323,0)</f>
        <v>-28135</v>
      </c>
      <c r="P98" s="71">
        <f>INDEX('Change in Proportion Layers'!$X$8:$X$321,MATCH('OPEB Amounts_Report'!A98,'Change in Proportion Layers'!$A$8:$A$321,0))</f>
        <v>33457</v>
      </c>
      <c r="Q98" s="71">
        <f t="shared" si="5"/>
        <v>5322</v>
      </c>
    </row>
    <row r="99" spans="1:17" ht="12" customHeight="1">
      <c r="A99" s="254">
        <v>2304</v>
      </c>
      <c r="B99" s="255" t="s">
        <v>89</v>
      </c>
      <c r="C99" s="89">
        <f>ROUND(VLOOKUP(A99,'Contribution Allocation_Report'!$A$9:$D$310,4,FALSE)*'OPEB Amounts_Report'!$C$323,0)</f>
        <v>1537251</v>
      </c>
      <c r="D99" s="89">
        <f>ROUND(VLOOKUP(A99,'Contribution Allocation_Report'!$A$9:$D$310,4,FALSE)*'OPEB Amounts_Report'!$D$323,0)</f>
        <v>22477</v>
      </c>
      <c r="E99" s="89">
        <f>ROUND(VLOOKUP(A99,'Contribution Allocation_Report'!$A$9:$D$310,4,FALSE)*'OPEB Amounts_Report'!$E$323,0)</f>
        <v>307772</v>
      </c>
      <c r="F99" s="89">
        <f>INDEX('Change in Proportion Layers'!$Z$8:$Z$321,MATCH('OPEB Amounts_Report'!A99,'Change in Proportion Layers'!$A$8:$A$321,0))</f>
        <v>87794</v>
      </c>
      <c r="G99" s="89">
        <f t="shared" si="3"/>
        <v>418043</v>
      </c>
      <c r="H99" s="89"/>
      <c r="I99" s="89">
        <f>ROUND(VLOOKUP(A99,'Contribution Allocation_Report'!$A$9:$D$310,4,FALSE)*'OPEB Amounts_Report'!$I$323,0)</f>
        <v>245160</v>
      </c>
      <c r="J99" s="89">
        <f>ROUND(VLOOKUP(A99,'Contribution Allocation_Report'!$A$9:$D$310,4,FALSE)*'OPEB Amounts_Report'!$J$323,0)</f>
        <v>44064</v>
      </c>
      <c r="K99" s="89">
        <f>ROUND(VLOOKUP(A99,'Contribution Allocation_Report'!$A$9:$D$310,4,FALSE)*'OPEB Amounts_Report'!$K$323,0)</f>
        <v>555771</v>
      </c>
      <c r="L99" s="89">
        <f>INDEX('Change in Proportion Layers'!$AA$8:$AA$321,MATCH('OPEB Amounts_Report'!A99,'Change in Proportion Layers'!$A$8:$A$321,0))</f>
        <v>3679</v>
      </c>
      <c r="M99" s="89">
        <f t="shared" si="4"/>
        <v>848674</v>
      </c>
      <c r="N99" s="90"/>
      <c r="O99" s="90">
        <f>ROUND(VLOOKUP(A99,'Contribution Allocation_Report'!$A$9:$D$310,4,FALSE)*'OPEB Amounts_Report'!$O$323,0)</f>
        <v>-165549</v>
      </c>
      <c r="P99" s="90">
        <f>INDEX('Change in Proportion Layers'!$X$8:$X$321,MATCH('OPEB Amounts_Report'!A99,'Change in Proportion Layers'!$A$8:$A$321,0))</f>
        <v>18572</v>
      </c>
      <c r="Q99" s="90">
        <f t="shared" si="5"/>
        <v>-146977</v>
      </c>
    </row>
    <row r="100" spans="1:17" ht="12" customHeight="1">
      <c r="A100" s="62">
        <v>11101</v>
      </c>
      <c r="B100" s="66" t="s">
        <v>91</v>
      </c>
      <c r="C100" s="70">
        <f>ROUND(VLOOKUP(A100,'Contribution Allocation_Report'!$A$9:$D$310,4,FALSE)*'OPEB Amounts_Report'!$C$323,0)</f>
        <v>20869702</v>
      </c>
      <c r="D100" s="70">
        <f>ROUND(VLOOKUP(A100,'Contribution Allocation_Report'!$A$9:$D$310,4,FALSE)*'OPEB Amounts_Report'!$D$323,0)</f>
        <v>305143</v>
      </c>
      <c r="E100" s="70">
        <f>ROUND(VLOOKUP(A100,'Contribution Allocation_Report'!$A$9:$D$310,4,FALSE)*'OPEB Amounts_Report'!$E$323,0)</f>
        <v>4178307</v>
      </c>
      <c r="F100" s="70">
        <f>INDEX('Change in Proportion Layers'!$Z$8:$Z$321,MATCH('OPEB Amounts_Report'!A100,'Change in Proportion Layers'!$A$8:$A$321,0))</f>
        <v>1025959</v>
      </c>
      <c r="G100" s="70">
        <f t="shared" si="3"/>
        <v>5509409</v>
      </c>
      <c r="H100" s="70"/>
      <c r="I100" s="70">
        <f>ROUND(VLOOKUP(A100,'Contribution Allocation_Report'!$A$9:$D$310,4,FALSE)*'OPEB Amounts_Report'!$I$323,0)</f>
        <v>3328283</v>
      </c>
      <c r="J100" s="70">
        <f>ROUND(VLOOKUP(A100,'Contribution Allocation_Report'!$A$9:$D$310,4,FALSE)*'OPEB Amounts_Report'!$J$323,0)</f>
        <v>598212</v>
      </c>
      <c r="K100" s="70">
        <f>ROUND(VLOOKUP(A100,'Contribution Allocation_Report'!$A$9:$D$310,4,FALSE)*'OPEB Amounts_Report'!$K$323,0)</f>
        <v>7545137</v>
      </c>
      <c r="L100" s="70">
        <f>INDEX('Change in Proportion Layers'!$AA$8:$AA$321,MATCH('OPEB Amounts_Report'!A100,'Change in Proportion Layers'!$A$8:$A$321,0))</f>
        <v>3422078</v>
      </c>
      <c r="M100" s="70">
        <f t="shared" si="4"/>
        <v>14893710</v>
      </c>
      <c r="N100" s="71"/>
      <c r="O100" s="71">
        <f>ROUND(VLOOKUP(A100,'Contribution Allocation_Report'!$A$9:$D$310,4,FALSE)*'OPEB Amounts_Report'!$O$323,0)</f>
        <v>-2247492</v>
      </c>
      <c r="P100" s="71">
        <f>INDEX('Change in Proportion Layers'!$X$8:$X$321,MATCH('OPEB Amounts_Report'!A100,'Change in Proportion Layers'!$A$8:$A$321,0))</f>
        <v>-807691</v>
      </c>
      <c r="Q100" s="71">
        <f t="shared" si="5"/>
        <v>-3055183</v>
      </c>
    </row>
    <row r="101" spans="1:17" ht="12" customHeight="1">
      <c r="A101" s="254">
        <v>11102</v>
      </c>
      <c r="B101" s="255" t="s">
        <v>90</v>
      </c>
      <c r="C101" s="89">
        <f>ROUND(VLOOKUP(A101,'Contribution Allocation_Report'!$A$9:$D$310,4,FALSE)*'OPEB Amounts_Report'!$C$323,0)</f>
        <v>6548454</v>
      </c>
      <c r="D101" s="89">
        <f>ROUND(VLOOKUP(A101,'Contribution Allocation_Report'!$A$9:$D$310,4,FALSE)*'OPEB Amounts_Report'!$D$323,0)</f>
        <v>95747</v>
      </c>
      <c r="E101" s="89">
        <f>ROUND(VLOOKUP(A101,'Contribution Allocation_Report'!$A$9:$D$310,4,FALSE)*'OPEB Amounts_Report'!$E$323,0)</f>
        <v>1311061</v>
      </c>
      <c r="F101" s="89">
        <f>INDEX('Change in Proportion Layers'!$Z$8:$Z$321,MATCH('OPEB Amounts_Report'!A101,'Change in Proportion Layers'!$A$8:$A$321,0))</f>
        <v>4516</v>
      </c>
      <c r="G101" s="89">
        <f t="shared" si="3"/>
        <v>1411324</v>
      </c>
      <c r="H101" s="89"/>
      <c r="I101" s="89">
        <f>ROUND(VLOOKUP(A101,'Contribution Allocation_Report'!$A$9:$D$310,4,FALSE)*'OPEB Amounts_Report'!$I$323,0)</f>
        <v>1044342</v>
      </c>
      <c r="J101" s="89">
        <f>ROUND(VLOOKUP(A101,'Contribution Allocation_Report'!$A$9:$D$310,4,FALSE)*'OPEB Amounts_Report'!$J$323,0)</f>
        <v>187706</v>
      </c>
      <c r="K101" s="89">
        <f>ROUND(VLOOKUP(A101,'Contribution Allocation_Report'!$A$9:$D$310,4,FALSE)*'OPEB Amounts_Report'!$K$323,0)</f>
        <v>2367498</v>
      </c>
      <c r="L101" s="297">
        <f>INDEX('Change in Proportion Layers'!$AA$8:$AA$321,MATCH('OPEB Amounts_Report'!A101,'Change in Proportion Layers'!$A$8:$A$321,0))</f>
        <v>1343746</v>
      </c>
      <c r="M101" s="89">
        <f t="shared" si="4"/>
        <v>4943292</v>
      </c>
      <c r="N101" s="90"/>
      <c r="O101" s="90">
        <f>ROUND(VLOOKUP(A101,'Contribution Allocation_Report'!$A$9:$D$310,4,FALSE)*'OPEB Amounts_Report'!$O$323,0)</f>
        <v>-705214</v>
      </c>
      <c r="P101" s="90">
        <f>INDEX('Change in Proportion Layers'!$X$8:$X$321,MATCH('OPEB Amounts_Report'!A101,'Change in Proportion Layers'!$A$8:$A$321,0))</f>
        <v>-335471</v>
      </c>
      <c r="Q101" s="90">
        <f t="shared" si="5"/>
        <v>-1040685</v>
      </c>
    </row>
    <row r="102" spans="1:17" ht="12" customHeight="1">
      <c r="A102" s="62">
        <v>3100</v>
      </c>
      <c r="B102" s="66" t="s">
        <v>92</v>
      </c>
      <c r="C102" s="70">
        <f>ROUND(VLOOKUP(A102,'Contribution Allocation_Report'!$A$9:$D$310,4,FALSE)*'OPEB Amounts_Report'!$C$323,0)</f>
        <v>14874355</v>
      </c>
      <c r="D102" s="70">
        <f>ROUND(VLOOKUP(A102,'Contribution Allocation_Report'!$A$9:$D$310,4,FALSE)*'OPEB Amounts_Report'!$D$323,0)</f>
        <v>217483</v>
      </c>
      <c r="E102" s="70">
        <f>ROUND(VLOOKUP(A102,'Contribution Allocation_Report'!$A$9:$D$310,4,FALSE)*'OPEB Amounts_Report'!$E$323,0)</f>
        <v>2977984</v>
      </c>
      <c r="F102" s="70">
        <f>INDEX('Change in Proportion Layers'!$Z$8:$Z$321,MATCH('OPEB Amounts_Report'!A102,'Change in Proportion Layers'!$A$8:$A$321,0))</f>
        <v>1975214</v>
      </c>
      <c r="G102" s="70">
        <f t="shared" si="3"/>
        <v>5170681</v>
      </c>
      <c r="H102" s="70"/>
      <c r="I102" s="70">
        <f>ROUND(VLOOKUP(A102,'Contribution Allocation_Report'!$A$9:$D$310,4,FALSE)*'OPEB Amounts_Report'!$I$323,0)</f>
        <v>2372150</v>
      </c>
      <c r="J102" s="70">
        <f>ROUND(VLOOKUP(A102,'Contribution Allocation_Report'!$A$9:$D$310,4,FALSE)*'OPEB Amounts_Report'!$J$323,0)</f>
        <v>426361</v>
      </c>
      <c r="K102" s="70">
        <f>ROUND(VLOOKUP(A102,'Contribution Allocation_Report'!$A$9:$D$310,4,FALSE)*'OPEB Amounts_Report'!$K$323,0)</f>
        <v>5377607</v>
      </c>
      <c r="L102" s="296">
        <f>INDEX('Change in Proportion Layers'!$AA$8:$AA$321,MATCH('OPEB Amounts_Report'!A102,'Change in Proportion Layers'!$A$8:$A$321,0))</f>
        <v>456249</v>
      </c>
      <c r="M102" s="70">
        <f t="shared" si="4"/>
        <v>8632367</v>
      </c>
      <c r="N102" s="71"/>
      <c r="O102" s="71">
        <f>ROUND(VLOOKUP(A102,'Contribution Allocation_Report'!$A$9:$D$310,4,FALSE)*'OPEB Amounts_Report'!$O$323,0)</f>
        <v>-1601844</v>
      </c>
      <c r="P102" s="71">
        <f>INDEX('Change in Proportion Layers'!$X$8:$X$321,MATCH('OPEB Amounts_Report'!A102,'Change in Proportion Layers'!$A$8:$A$321,0))</f>
        <v>390805</v>
      </c>
      <c r="Q102" s="71">
        <f t="shared" si="5"/>
        <v>-1211039</v>
      </c>
    </row>
    <row r="103" spans="1:17" ht="12" customHeight="1">
      <c r="A103" s="254">
        <v>2323</v>
      </c>
      <c r="B103" s="255" t="s">
        <v>93</v>
      </c>
      <c r="C103" s="89">
        <f>ROUND(VLOOKUP(A103,'Contribution Allocation_Report'!$A$9:$D$310,4,FALSE)*'OPEB Amounts_Report'!$C$323,0)</f>
        <v>1418799</v>
      </c>
      <c r="D103" s="89">
        <f>ROUND(VLOOKUP(A103,'Contribution Allocation_Report'!$A$9:$D$310,4,FALSE)*'OPEB Amounts_Report'!$D$323,0)</f>
        <v>20745</v>
      </c>
      <c r="E103" s="89">
        <f>ROUND(VLOOKUP(A103,'Contribution Allocation_Report'!$A$9:$D$310,4,FALSE)*'OPEB Amounts_Report'!$E$323,0)</f>
        <v>284057</v>
      </c>
      <c r="F103" s="89">
        <f>INDEX('Change in Proportion Layers'!$Z$8:$Z$321,MATCH('OPEB Amounts_Report'!A103,'Change in Proportion Layers'!$A$8:$A$321,0))</f>
        <v>168050</v>
      </c>
      <c r="G103" s="89">
        <f t="shared" si="3"/>
        <v>472852</v>
      </c>
      <c r="H103" s="89"/>
      <c r="I103" s="89">
        <f>ROUND(VLOOKUP(A103,'Contribution Allocation_Report'!$A$9:$D$310,4,FALSE)*'OPEB Amounts_Report'!$I$323,0)</f>
        <v>226269</v>
      </c>
      <c r="J103" s="89">
        <f>ROUND(VLOOKUP(A103,'Contribution Allocation_Report'!$A$9:$D$310,4,FALSE)*'OPEB Amounts_Report'!$J$323,0)</f>
        <v>40669</v>
      </c>
      <c r="K103" s="89">
        <f>ROUND(VLOOKUP(A103,'Contribution Allocation_Report'!$A$9:$D$310,4,FALSE)*'OPEB Amounts_Report'!$K$323,0)</f>
        <v>512946</v>
      </c>
      <c r="L103" s="297">
        <f>INDEX('Change in Proportion Layers'!$AA$8:$AA$321,MATCH('OPEB Amounts_Report'!A103,'Change in Proportion Layers'!$A$8:$A$321,0))</f>
        <v>42963</v>
      </c>
      <c r="M103" s="89">
        <f t="shared" si="4"/>
        <v>822847</v>
      </c>
      <c r="N103" s="90"/>
      <c r="O103" s="90">
        <f>ROUND(VLOOKUP(A103,'Contribution Allocation_Report'!$A$9:$D$310,4,FALSE)*'OPEB Amounts_Report'!$O$323,0)</f>
        <v>-152793</v>
      </c>
      <c r="P103" s="90">
        <f>INDEX('Change in Proportion Layers'!$X$8:$X$321,MATCH('OPEB Amounts_Report'!A103,'Change in Proportion Layers'!$A$8:$A$321,0))</f>
        <v>22716</v>
      </c>
      <c r="Q103" s="90">
        <f t="shared" si="5"/>
        <v>-130077</v>
      </c>
    </row>
    <row r="104" spans="1:17" ht="12" customHeight="1">
      <c r="A104" s="62">
        <v>11034</v>
      </c>
      <c r="B104" s="66" t="s">
        <v>94</v>
      </c>
      <c r="C104" s="70">
        <f>ROUND(VLOOKUP(A104,'Contribution Allocation_Report'!$A$9:$D$310,4,FALSE)*'OPEB Amounts_Report'!$C$323,0)</f>
        <v>1032183</v>
      </c>
      <c r="D104" s="70">
        <f>ROUND(VLOOKUP(A104,'Contribution Allocation_Report'!$A$9:$D$310,4,FALSE)*'OPEB Amounts_Report'!$D$323,0)</f>
        <v>15092</v>
      </c>
      <c r="E104" s="70">
        <f>ROUND(VLOOKUP(A104,'Contribution Allocation_Report'!$A$9:$D$310,4,FALSE)*'OPEB Amounts_Report'!$E$323,0)</f>
        <v>206653</v>
      </c>
      <c r="F104" s="70">
        <f>INDEX('Change in Proportion Layers'!$Z$8:$Z$321,MATCH('OPEB Amounts_Report'!A104,'Change in Proportion Layers'!$A$8:$A$321,0))</f>
        <v>226373</v>
      </c>
      <c r="G104" s="70">
        <f t="shared" si="3"/>
        <v>448118</v>
      </c>
      <c r="H104" s="70"/>
      <c r="I104" s="70">
        <f>ROUND(VLOOKUP(A104,'Contribution Allocation_Report'!$A$9:$D$310,4,FALSE)*'OPEB Amounts_Report'!$I$323,0)</f>
        <v>164612</v>
      </c>
      <c r="J104" s="70">
        <f>ROUND(VLOOKUP(A104,'Contribution Allocation_Report'!$A$9:$D$310,4,FALSE)*'OPEB Amounts_Report'!$J$323,0)</f>
        <v>29587</v>
      </c>
      <c r="K104" s="70">
        <f>ROUND(VLOOKUP(A104,'Contribution Allocation_Report'!$A$9:$D$310,4,FALSE)*'OPEB Amounts_Report'!$K$323,0)</f>
        <v>373171</v>
      </c>
      <c r="L104" s="296">
        <f>INDEX('Change in Proportion Layers'!$AA$8:$AA$321,MATCH('OPEB Amounts_Report'!A104,'Change in Proportion Layers'!$A$8:$A$321,0))</f>
        <v>57648</v>
      </c>
      <c r="M104" s="70">
        <f t="shared" si="4"/>
        <v>625018</v>
      </c>
      <c r="N104" s="71"/>
      <c r="O104" s="71">
        <f>ROUND(VLOOKUP(A104,'Contribution Allocation_Report'!$A$9:$D$310,4,FALSE)*'OPEB Amounts_Report'!$O$323,0)</f>
        <v>-111157</v>
      </c>
      <c r="P104" s="71">
        <f>INDEX('Change in Proportion Layers'!$X$8:$X$321,MATCH('OPEB Amounts_Report'!A104,'Change in Proportion Layers'!$A$8:$A$321,0))</f>
        <v>51308</v>
      </c>
      <c r="Q104" s="71">
        <f t="shared" si="5"/>
        <v>-59849</v>
      </c>
    </row>
    <row r="105" spans="1:17" ht="12" customHeight="1">
      <c r="A105" s="254">
        <v>17054</v>
      </c>
      <c r="B105" s="255" t="s">
        <v>95</v>
      </c>
      <c r="C105" s="89">
        <f>ROUND(VLOOKUP(A105,'Contribution Allocation_Report'!$A$9:$D$310,4,FALSE)*'OPEB Amounts_Report'!$C$323,0)</f>
        <v>15965106</v>
      </c>
      <c r="D105" s="89">
        <f>ROUND(VLOOKUP(A105,'Contribution Allocation_Report'!$A$9:$D$310,4,FALSE)*'OPEB Amounts_Report'!$D$323,0)</f>
        <v>233431</v>
      </c>
      <c r="E105" s="89">
        <f>ROUND(VLOOKUP(A105,'Contribution Allocation_Report'!$A$9:$D$310,4,FALSE)*'OPEB Amounts_Report'!$E$323,0)</f>
        <v>3196362</v>
      </c>
      <c r="F105" s="89">
        <f>INDEX('Change in Proportion Layers'!$Z$8:$Z$321,MATCH('OPEB Amounts_Report'!A105,'Change in Proportion Layers'!$A$8:$A$321,0))</f>
        <v>2316862</v>
      </c>
      <c r="G105" s="89">
        <f t="shared" si="3"/>
        <v>5746655</v>
      </c>
      <c r="H105" s="89"/>
      <c r="I105" s="89">
        <f>ROUND(VLOOKUP(A105,'Contribution Allocation_Report'!$A$9:$D$310,4,FALSE)*'OPEB Amounts_Report'!$I$323,0)</f>
        <v>2546102</v>
      </c>
      <c r="J105" s="89">
        <f>ROUND(VLOOKUP(A105,'Contribution Allocation_Report'!$A$9:$D$310,4,FALSE)*'OPEB Amounts_Report'!$J$323,0)</f>
        <v>457626</v>
      </c>
      <c r="K105" s="89">
        <f>ROUND(VLOOKUP(A105,'Contribution Allocation_Report'!$A$9:$D$310,4,FALSE)*'OPEB Amounts_Report'!$K$323,0)</f>
        <v>5771952</v>
      </c>
      <c r="L105" s="297">
        <f>INDEX('Change in Proportion Layers'!$AA$8:$AA$321,MATCH('OPEB Amounts_Report'!A105,'Change in Proportion Layers'!$A$8:$A$321,0))</f>
        <v>92719</v>
      </c>
      <c r="M105" s="89">
        <f t="shared" si="4"/>
        <v>8868399</v>
      </c>
      <c r="N105" s="90"/>
      <c r="O105" s="90">
        <f>ROUND(VLOOKUP(A105,'Contribution Allocation_Report'!$A$9:$D$310,4,FALSE)*'OPEB Amounts_Report'!$O$323,0)</f>
        <v>-1719308</v>
      </c>
      <c r="P105" s="90">
        <f>INDEX('Change in Proportion Layers'!$X$8:$X$321,MATCH('OPEB Amounts_Report'!A105,'Change in Proportion Layers'!$A$8:$A$321,0))</f>
        <v>1185040</v>
      </c>
      <c r="Q105" s="90">
        <f t="shared" si="5"/>
        <v>-534268</v>
      </c>
    </row>
    <row r="106" spans="1:17" ht="12" customHeight="1">
      <c r="A106" s="62">
        <v>22065</v>
      </c>
      <c r="B106" s="63" t="s">
        <v>96</v>
      </c>
      <c r="C106" s="171">
        <f>ROUND(VLOOKUP(A106,'Contribution Allocation_Report'!$A$9:$D$310,4,FALSE)*'OPEB Amounts_Report'!$C$323,0)</f>
        <v>3339047</v>
      </c>
      <c r="D106" s="171">
        <f>ROUND(VLOOKUP(A106,'Contribution Allocation_Report'!$A$9:$D$310,4,FALSE)*'OPEB Amounts_Report'!$D$323,0)</f>
        <v>48821</v>
      </c>
      <c r="E106" s="171">
        <f>ROUND(VLOOKUP(A106,'Contribution Allocation_Report'!$A$9:$D$310,4,FALSE)*'OPEB Amounts_Report'!$E$323,0)</f>
        <v>668508</v>
      </c>
      <c r="F106" s="171">
        <f>INDEX('Change in Proportion Layers'!$Z$8:$Z$321,MATCH('OPEB Amounts_Report'!A106,'Change in Proportion Layers'!$A$8:$A$321,0))</f>
        <v>185916</v>
      </c>
      <c r="G106" s="171">
        <f t="shared" si="3"/>
        <v>903245</v>
      </c>
      <c r="H106" s="171"/>
      <c r="I106" s="171">
        <f>ROUND(VLOOKUP(A106,'Contribution Allocation_Report'!$A$9:$D$310,4,FALSE)*'OPEB Amounts_Report'!$I$323,0)</f>
        <v>532509</v>
      </c>
      <c r="J106" s="171">
        <f>ROUND(VLOOKUP(A106,'Contribution Allocation_Report'!$A$9:$D$310,4,FALSE)*'OPEB Amounts_Report'!$J$323,0)</f>
        <v>95711</v>
      </c>
      <c r="K106" s="171">
        <f>ROUND(VLOOKUP(A106,'Contribution Allocation_Report'!$A$9:$D$310,4,FALSE)*'OPEB Amounts_Report'!$K$323,0)</f>
        <v>1207184</v>
      </c>
      <c r="L106" s="173">
        <f>INDEX('Change in Proportion Layers'!$AA$8:$AA$321,MATCH('OPEB Amounts_Report'!A106,'Change in Proportion Layers'!$A$8:$A$321,0))</f>
        <v>51541</v>
      </c>
      <c r="M106" s="171">
        <f t="shared" si="4"/>
        <v>1886945</v>
      </c>
      <c r="N106" s="172"/>
      <c r="O106" s="172">
        <f>ROUND(VLOOKUP(A106,'Contribution Allocation_Report'!$A$9:$D$310,4,FALSE)*'OPEB Amounts_Report'!$O$323,0)</f>
        <v>-359587</v>
      </c>
      <c r="P106" s="172">
        <f>INDEX('Change in Proportion Layers'!$X$8:$X$321,MATCH('OPEB Amounts_Report'!A106,'Change in Proportion Layers'!$A$8:$A$321,0))</f>
        <v>29344</v>
      </c>
      <c r="Q106" s="172">
        <f t="shared" si="5"/>
        <v>-330243</v>
      </c>
    </row>
    <row r="107" spans="1:17" ht="12" customHeight="1">
      <c r="A107" s="254">
        <v>22201</v>
      </c>
      <c r="B107" s="255" t="s">
        <v>97</v>
      </c>
      <c r="C107" s="89">
        <f>ROUND(VLOOKUP(A107,'Contribution Allocation_Report'!$A$9:$D$310,4,FALSE)*'OPEB Amounts_Report'!$C$323,0)</f>
        <v>1658665</v>
      </c>
      <c r="D107" s="89">
        <f>ROUND(VLOOKUP(A107,'Contribution Allocation_Report'!$A$9:$D$310,4,FALSE)*'OPEB Amounts_Report'!$D$323,0)</f>
        <v>24252</v>
      </c>
      <c r="E107" s="89">
        <f>ROUND(VLOOKUP(A107,'Contribution Allocation_Report'!$A$9:$D$310,4,FALSE)*'OPEB Amounts_Report'!$E$323,0)</f>
        <v>332080</v>
      </c>
      <c r="F107" s="89">
        <f>INDEX('Change in Proportion Layers'!$Z$8:$Z$321,MATCH('OPEB Amounts_Report'!A107,'Change in Proportion Layers'!$A$8:$A$321,0))</f>
        <v>367884</v>
      </c>
      <c r="G107" s="89">
        <f t="shared" si="3"/>
        <v>724216</v>
      </c>
      <c r="H107" s="89"/>
      <c r="I107" s="89">
        <f>ROUND(VLOOKUP(A107,'Contribution Allocation_Report'!$A$9:$D$310,4,FALSE)*'OPEB Amounts_Report'!$I$323,0)</f>
        <v>264523</v>
      </c>
      <c r="J107" s="89">
        <f>ROUND(VLOOKUP(A107,'Contribution Allocation_Report'!$A$9:$D$310,4,FALSE)*'OPEB Amounts_Report'!$J$323,0)</f>
        <v>47544</v>
      </c>
      <c r="K107" s="89">
        <f>ROUND(VLOOKUP(A107,'Contribution Allocation_Report'!$A$9:$D$310,4,FALSE)*'OPEB Amounts_Report'!$K$323,0)</f>
        <v>599666</v>
      </c>
      <c r="L107" s="89">
        <f>INDEX('Change in Proportion Layers'!$AA$8:$AA$321,MATCH('OPEB Amounts_Report'!A107,'Change in Proportion Layers'!$A$8:$A$321,0))</f>
        <v>49609</v>
      </c>
      <c r="M107" s="89">
        <f t="shared" si="4"/>
        <v>961342</v>
      </c>
      <c r="N107" s="90"/>
      <c r="O107" s="90">
        <f>ROUND(VLOOKUP(A107,'Contribution Allocation_Report'!$A$9:$D$310,4,FALSE)*'OPEB Amounts_Report'!$O$323,0)</f>
        <v>-178624</v>
      </c>
      <c r="P107" s="90">
        <f>INDEX('Change in Proportion Layers'!$X$8:$X$321,MATCH('OPEB Amounts_Report'!A107,'Change in Proportion Layers'!$A$8:$A$321,0))</f>
        <v>114819</v>
      </c>
      <c r="Q107" s="90">
        <f t="shared" si="5"/>
        <v>-63805</v>
      </c>
    </row>
    <row r="108" spans="1:17" ht="12" customHeight="1">
      <c r="A108" s="62">
        <v>6016</v>
      </c>
      <c r="B108" s="66" t="s">
        <v>98</v>
      </c>
      <c r="C108" s="70">
        <f>ROUND(VLOOKUP(A108,'Contribution Allocation_Report'!$A$9:$D$310,4,FALSE)*'OPEB Amounts_Report'!$C$323,0)</f>
        <v>3366357</v>
      </c>
      <c r="D108" s="70">
        <f>ROUND(VLOOKUP(A108,'Contribution Allocation_Report'!$A$9:$D$310,4,FALSE)*'OPEB Amounts_Report'!$D$323,0)</f>
        <v>49221</v>
      </c>
      <c r="E108" s="70">
        <f>ROUND(VLOOKUP(A108,'Contribution Allocation_Report'!$A$9:$D$310,4,FALSE)*'OPEB Amounts_Report'!$E$323,0)</f>
        <v>673976</v>
      </c>
      <c r="F108" s="70">
        <f>INDEX('Change in Proportion Layers'!$Z$8:$Z$321,MATCH('OPEB Amounts_Report'!A108,'Change in Proportion Layers'!$A$8:$A$321,0))</f>
        <v>369286</v>
      </c>
      <c r="G108" s="70">
        <f t="shared" si="3"/>
        <v>1092483</v>
      </c>
      <c r="H108" s="70"/>
      <c r="I108" s="70">
        <f>ROUND(VLOOKUP(A108,'Contribution Allocation_Report'!$A$9:$D$310,4,FALSE)*'OPEB Amounts_Report'!$I$323,0)</f>
        <v>536864</v>
      </c>
      <c r="J108" s="70">
        <f>ROUND(VLOOKUP(A108,'Contribution Allocation_Report'!$A$9:$D$310,4,FALSE)*'OPEB Amounts_Report'!$J$323,0)</f>
        <v>96494</v>
      </c>
      <c r="K108" s="70">
        <f>ROUND(VLOOKUP(A108,'Contribution Allocation_Report'!$A$9:$D$310,4,FALSE)*'OPEB Amounts_Report'!$K$323,0)</f>
        <v>1217057</v>
      </c>
      <c r="L108" s="70">
        <f>INDEX('Change in Proportion Layers'!$AA$8:$AA$321,MATCH('OPEB Amounts_Report'!A108,'Change in Proportion Layers'!$A$8:$A$321,0))</f>
        <v>210838</v>
      </c>
      <c r="M108" s="70">
        <f t="shared" si="4"/>
        <v>2061253</v>
      </c>
      <c r="N108" s="71"/>
      <c r="O108" s="71">
        <f>ROUND(VLOOKUP(A108,'Contribution Allocation_Report'!$A$9:$D$310,4,FALSE)*'OPEB Amounts_Report'!$O$323,0)</f>
        <v>-362528</v>
      </c>
      <c r="P108" s="71">
        <f>INDEX('Change in Proportion Layers'!$X$8:$X$321,MATCH('OPEB Amounts_Report'!A108,'Change in Proportion Layers'!$A$8:$A$321,0))</f>
        <v>54228</v>
      </c>
      <c r="Q108" s="71">
        <f t="shared" si="5"/>
        <v>-308300</v>
      </c>
    </row>
    <row r="109" spans="1:17" ht="12" customHeight="1">
      <c r="A109" s="254">
        <v>2432</v>
      </c>
      <c r="B109" s="255" t="s">
        <v>99</v>
      </c>
      <c r="C109" s="89">
        <f>ROUND(VLOOKUP(A109,'Contribution Allocation_Report'!$A$9:$D$310,4,FALSE)*'OPEB Amounts_Report'!$C$323,0)</f>
        <v>2399981</v>
      </c>
      <c r="D109" s="89">
        <f>ROUND(VLOOKUP(A109,'Contribution Allocation_Report'!$A$9:$D$310,4,FALSE)*'OPEB Amounts_Report'!$D$323,0)</f>
        <v>35091</v>
      </c>
      <c r="E109" s="89">
        <f>ROUND(VLOOKUP(A109,'Contribution Allocation_Report'!$A$9:$D$310,4,FALSE)*'OPEB Amounts_Report'!$E$323,0)</f>
        <v>480498</v>
      </c>
      <c r="F109" s="89">
        <f>INDEX('Change in Proportion Layers'!$Z$8:$Z$321,MATCH('OPEB Amounts_Report'!A109,'Change in Proportion Layers'!$A$8:$A$321,0))</f>
        <v>1367097</v>
      </c>
      <c r="G109" s="89">
        <f t="shared" si="3"/>
        <v>1882686</v>
      </c>
      <c r="H109" s="89"/>
      <c r="I109" s="89">
        <f>ROUND(VLOOKUP(A109,'Contribution Allocation_Report'!$A$9:$D$310,4,FALSE)*'OPEB Amounts_Report'!$I$323,0)</f>
        <v>382747</v>
      </c>
      <c r="J109" s="89">
        <f>ROUND(VLOOKUP(A109,'Contribution Allocation_Report'!$A$9:$D$310,4,FALSE)*'OPEB Amounts_Report'!$J$323,0)</f>
        <v>68793</v>
      </c>
      <c r="K109" s="89">
        <f>ROUND(VLOOKUP(A109,'Contribution Allocation_Report'!$A$9:$D$310,4,FALSE)*'OPEB Amounts_Report'!$K$323,0)</f>
        <v>867678</v>
      </c>
      <c r="L109" s="89">
        <f>INDEX('Change in Proportion Layers'!$AA$8:$AA$321,MATCH('OPEB Amounts_Report'!A109,'Change in Proportion Layers'!$A$8:$A$321,0))</f>
        <v>0</v>
      </c>
      <c r="M109" s="89">
        <f t="shared" si="4"/>
        <v>1319218</v>
      </c>
      <c r="N109" s="90"/>
      <c r="O109" s="90">
        <f>ROUND(VLOOKUP(A109,'Contribution Allocation_Report'!$A$9:$D$310,4,FALSE)*'OPEB Amounts_Report'!$O$323,0)</f>
        <v>-258458</v>
      </c>
      <c r="P109" s="90">
        <f>INDEX('Change in Proportion Layers'!$X$8:$X$321,MATCH('OPEB Amounts_Report'!A109,'Change in Proportion Layers'!$A$8:$A$321,0))</f>
        <v>355511</v>
      </c>
      <c r="Q109" s="90">
        <f t="shared" si="5"/>
        <v>97053</v>
      </c>
    </row>
    <row r="110" spans="1:17" ht="12" customHeight="1">
      <c r="A110" s="62">
        <v>16052</v>
      </c>
      <c r="B110" s="66" t="s">
        <v>100</v>
      </c>
      <c r="C110" s="70">
        <f>ROUND(VLOOKUP(A110,'Contribution Allocation_Report'!$A$9:$D$310,4,FALSE)*'OPEB Amounts_Report'!$C$323,0)</f>
        <v>44347334</v>
      </c>
      <c r="D110" s="70">
        <f>ROUND(VLOOKUP(A110,'Contribution Allocation_Report'!$A$9:$D$310,4,FALSE)*'OPEB Amounts_Report'!$D$323,0)</f>
        <v>648416</v>
      </c>
      <c r="E110" s="70">
        <f>ROUND(VLOOKUP(A110,'Contribution Allocation_Report'!$A$9:$D$310,4,FALSE)*'OPEB Amounts_Report'!$E$323,0)</f>
        <v>8878747</v>
      </c>
      <c r="F110" s="70">
        <f>INDEX('Change in Proportion Layers'!$Z$8:$Z$321,MATCH('OPEB Amounts_Report'!A110,'Change in Proportion Layers'!$A$8:$A$321,0))</f>
        <v>4241520</v>
      </c>
      <c r="G110" s="70">
        <f t="shared" si="3"/>
        <v>13768683</v>
      </c>
      <c r="H110" s="70"/>
      <c r="I110" s="70">
        <f>ROUND(VLOOKUP(A110,'Contribution Allocation_Report'!$A$9:$D$310,4,FALSE)*'OPEB Amounts_Report'!$I$323,0)</f>
        <v>7072478</v>
      </c>
      <c r="J110" s="70">
        <f>ROUND(VLOOKUP(A110,'Contribution Allocation_Report'!$A$9:$D$310,4,FALSE)*'OPEB Amounts_Report'!$J$323,0)</f>
        <v>1271179</v>
      </c>
      <c r="K110" s="70">
        <f>ROUND(VLOOKUP(A110,'Contribution Allocation_Report'!$A$9:$D$310,4,FALSE)*'OPEB Amounts_Report'!$K$323,0)</f>
        <v>16033134</v>
      </c>
      <c r="L110" s="70">
        <f>INDEX('Change in Proportion Layers'!$AA$8:$AA$321,MATCH('OPEB Amounts_Report'!A110,'Change in Proportion Layers'!$A$8:$A$321,0))</f>
        <v>1357045</v>
      </c>
      <c r="M110" s="70">
        <f t="shared" si="4"/>
        <v>25733836</v>
      </c>
      <c r="N110" s="71"/>
      <c r="O110" s="71">
        <f>ROUND(VLOOKUP(A110,'Contribution Allocation_Report'!$A$9:$D$310,4,FALSE)*'OPEB Amounts_Report'!$O$323,0)</f>
        <v>-4775837</v>
      </c>
      <c r="P110" s="71">
        <f>INDEX('Change in Proportion Layers'!$X$8:$X$321,MATCH('OPEB Amounts_Report'!A110,'Change in Proportion Layers'!$A$8:$A$321,0))</f>
        <v>694231</v>
      </c>
      <c r="Q110" s="71">
        <f t="shared" si="5"/>
        <v>-4081606</v>
      </c>
    </row>
    <row r="111" spans="1:17" ht="12" customHeight="1">
      <c r="A111" s="254">
        <v>11118</v>
      </c>
      <c r="B111" s="255" t="s">
        <v>101</v>
      </c>
      <c r="C111" s="89">
        <f>ROUND(VLOOKUP(A111,'Contribution Allocation_Report'!$A$9:$D$310,4,FALSE)*'OPEB Amounts_Report'!$C$323,0)</f>
        <v>1152939</v>
      </c>
      <c r="D111" s="89">
        <f>ROUND(VLOOKUP(A111,'Contribution Allocation_Report'!$A$9:$D$310,4,FALSE)*'OPEB Amounts_Report'!$D$323,0)</f>
        <v>16857</v>
      </c>
      <c r="E111" s="89">
        <f>ROUND(VLOOKUP(A111,'Contribution Allocation_Report'!$A$9:$D$310,4,FALSE)*'OPEB Amounts_Report'!$E$323,0)</f>
        <v>230829</v>
      </c>
      <c r="F111" s="89">
        <f>INDEX('Change in Proportion Layers'!$Z$8:$Z$321,MATCH('OPEB Amounts_Report'!A111,'Change in Proportion Layers'!$A$8:$A$321,0))</f>
        <v>28399</v>
      </c>
      <c r="G111" s="89">
        <f t="shared" si="3"/>
        <v>276085</v>
      </c>
      <c r="H111" s="89"/>
      <c r="I111" s="89">
        <f>ROUND(VLOOKUP(A111,'Contribution Allocation_Report'!$A$9:$D$310,4,FALSE)*'OPEB Amounts_Report'!$I$323,0)</f>
        <v>183870</v>
      </c>
      <c r="J111" s="89">
        <f>ROUND(VLOOKUP(A111,'Contribution Allocation_Report'!$A$9:$D$310,4,FALSE)*'OPEB Amounts_Report'!$J$323,0)</f>
        <v>33048</v>
      </c>
      <c r="K111" s="89">
        <f>ROUND(VLOOKUP(A111,'Contribution Allocation_Report'!$A$9:$D$310,4,FALSE)*'OPEB Amounts_Report'!$K$323,0)</f>
        <v>416828</v>
      </c>
      <c r="L111" s="89">
        <f>INDEX('Change in Proportion Layers'!$AA$8:$AA$321,MATCH('OPEB Amounts_Report'!A111,'Change in Proportion Layers'!$A$8:$A$321,0))</f>
        <v>222873</v>
      </c>
      <c r="M111" s="89">
        <f t="shared" si="4"/>
        <v>856619</v>
      </c>
      <c r="N111" s="90"/>
      <c r="O111" s="90">
        <f>ROUND(VLOOKUP(A111,'Contribution Allocation_Report'!$A$9:$D$310,4,FALSE)*'OPEB Amounts_Report'!$O$323,0)</f>
        <v>-124162</v>
      </c>
      <c r="P111" s="90">
        <f>INDEX('Change in Proportion Layers'!$X$8:$X$321,MATCH('OPEB Amounts_Report'!A111,'Change in Proportion Layers'!$A$8:$A$321,0))</f>
        <v>-36029</v>
      </c>
      <c r="Q111" s="90">
        <f t="shared" si="5"/>
        <v>-160191</v>
      </c>
    </row>
    <row r="112" spans="1:17" ht="12" customHeight="1">
      <c r="A112" s="62">
        <v>27083</v>
      </c>
      <c r="B112" s="66" t="s">
        <v>102</v>
      </c>
      <c r="C112" s="70">
        <f>ROUND(VLOOKUP(A112,'Contribution Allocation_Report'!$A$9:$D$310,4,FALSE)*'OPEB Amounts_Report'!$C$323,0)</f>
        <v>1807389</v>
      </c>
      <c r="D112" s="70">
        <f>ROUND(VLOOKUP(A112,'Contribution Allocation_Report'!$A$9:$D$310,4,FALSE)*'OPEB Amounts_Report'!$D$323,0)</f>
        <v>26426</v>
      </c>
      <c r="E112" s="70">
        <f>ROUND(VLOOKUP(A112,'Contribution Allocation_Report'!$A$9:$D$310,4,FALSE)*'OPEB Amounts_Report'!$E$323,0)</f>
        <v>361856</v>
      </c>
      <c r="F112" s="296">
        <f>INDEX('Change in Proportion Layers'!$Z$8:$Z$321,MATCH('OPEB Amounts_Report'!A112,'Change in Proportion Layers'!$A$8:$A$321,0))</f>
        <v>122350</v>
      </c>
      <c r="G112" s="70">
        <f t="shared" si="3"/>
        <v>510632</v>
      </c>
      <c r="H112" s="70"/>
      <c r="I112" s="70">
        <f>ROUND(VLOOKUP(A112,'Contribution Allocation_Report'!$A$9:$D$310,4,FALSE)*'OPEB Amounts_Report'!$I$323,0)</f>
        <v>288241</v>
      </c>
      <c r="J112" s="70">
        <f>ROUND(VLOOKUP(A112,'Contribution Allocation_Report'!$A$9:$D$310,4,FALSE)*'OPEB Amounts_Report'!$J$323,0)</f>
        <v>51807</v>
      </c>
      <c r="K112" s="70">
        <f>ROUND(VLOOKUP(A112,'Contribution Allocation_Report'!$A$9:$D$310,4,FALSE)*'OPEB Amounts_Report'!$K$323,0)</f>
        <v>653435</v>
      </c>
      <c r="L112" s="70">
        <f>INDEX('Change in Proportion Layers'!$AA$8:$AA$321,MATCH('OPEB Amounts_Report'!A112,'Change in Proportion Layers'!$A$8:$A$321,0))</f>
        <v>70014</v>
      </c>
      <c r="M112" s="70">
        <f t="shared" si="4"/>
        <v>1063497</v>
      </c>
      <c r="N112" s="71"/>
      <c r="O112" s="71">
        <f>ROUND(VLOOKUP(A112,'Contribution Allocation_Report'!$A$9:$D$310,4,FALSE)*'OPEB Amounts_Report'!$O$323,0)</f>
        <v>-194641</v>
      </c>
      <c r="P112" s="71">
        <f>INDEX('Change in Proportion Layers'!$X$8:$X$321,MATCH('OPEB Amounts_Report'!A112,'Change in Proportion Layers'!$A$8:$A$321,0))</f>
        <v>14159</v>
      </c>
      <c r="Q112" s="71">
        <f t="shared" si="5"/>
        <v>-180482</v>
      </c>
    </row>
    <row r="113" spans="1:17" ht="12" customHeight="1">
      <c r="A113" s="254">
        <v>7021</v>
      </c>
      <c r="B113" s="255" t="s">
        <v>103</v>
      </c>
      <c r="C113" s="89">
        <f>ROUND(VLOOKUP(A113,'Contribution Allocation_Report'!$A$9:$D$310,4,FALSE)*'OPEB Amounts_Report'!$C$323,0)</f>
        <v>60244330</v>
      </c>
      <c r="D113" s="89">
        <f>ROUND(VLOOKUP(A113,'Contribution Allocation_Report'!$A$9:$D$310,4,FALSE)*'OPEB Amounts_Report'!$D$323,0)</f>
        <v>880852</v>
      </c>
      <c r="E113" s="89">
        <f>ROUND(VLOOKUP(A113,'Contribution Allocation_Report'!$A$9:$D$310,4,FALSE)*'OPEB Amounts_Report'!$E$323,0)</f>
        <v>12061473</v>
      </c>
      <c r="F113" s="89">
        <f>INDEX('Change in Proportion Layers'!$Z$8:$Z$321,MATCH('OPEB Amounts_Report'!A113,'Change in Proportion Layers'!$A$8:$A$321,0))</f>
        <v>3949999</v>
      </c>
      <c r="G113" s="89">
        <f t="shared" si="3"/>
        <v>16892324</v>
      </c>
      <c r="H113" s="89"/>
      <c r="I113" s="89">
        <f>ROUND(VLOOKUP(A113,'Contribution Allocation_Report'!$A$9:$D$310,4,FALSE)*'OPEB Amounts_Report'!$I$323,0)</f>
        <v>9607718</v>
      </c>
      <c r="J113" s="89">
        <f>ROUND(VLOOKUP(A113,'Contribution Allocation_Report'!$A$9:$D$310,4,FALSE)*'OPEB Amounts_Report'!$J$323,0)</f>
        <v>1726853</v>
      </c>
      <c r="K113" s="89">
        <f>ROUND(VLOOKUP(A113,'Contribution Allocation_Report'!$A$9:$D$310,4,FALSE)*'OPEB Amounts_Report'!$K$323,0)</f>
        <v>21780461</v>
      </c>
      <c r="L113" s="297">
        <f>INDEX('Change in Proportion Layers'!$AA$8:$AA$321,MATCH('OPEB Amounts_Report'!A113,'Change in Proportion Layers'!$A$8:$A$321,0))</f>
        <v>1233364</v>
      </c>
      <c r="M113" s="89">
        <f t="shared" si="4"/>
        <v>34348396</v>
      </c>
      <c r="N113" s="90"/>
      <c r="O113" s="90">
        <f>ROUND(VLOOKUP(A113,'Contribution Allocation_Report'!$A$9:$D$310,4,FALSE)*'OPEB Amounts_Report'!$O$323,0)</f>
        <v>-6487810</v>
      </c>
      <c r="P113" s="90">
        <f>INDEX('Change in Proportion Layers'!$X$8:$X$321,MATCH('OPEB Amounts_Report'!A113,'Change in Proportion Layers'!$A$8:$A$321,0))</f>
        <v>235613</v>
      </c>
      <c r="Q113" s="90">
        <f t="shared" si="5"/>
        <v>-6252197</v>
      </c>
    </row>
    <row r="114" spans="1:17" ht="12" customHeight="1">
      <c r="A114" s="62">
        <v>4140</v>
      </c>
      <c r="B114" s="66" t="s">
        <v>104</v>
      </c>
      <c r="C114" s="70">
        <f>ROUND(VLOOKUP(A114,'Contribution Allocation_Report'!$A$9:$D$310,4,FALSE)*'OPEB Amounts_Report'!$C$323,0)</f>
        <v>392539</v>
      </c>
      <c r="D114" s="70">
        <f>ROUND(VLOOKUP(A114,'Contribution Allocation_Report'!$A$9:$D$310,4,FALSE)*'OPEB Amounts_Report'!$D$323,0)</f>
        <v>5739</v>
      </c>
      <c r="E114" s="70">
        <f>ROUND(VLOOKUP(A114,'Contribution Allocation_Report'!$A$9:$D$310,4,FALSE)*'OPEB Amounts_Report'!$E$323,0)</f>
        <v>78590</v>
      </c>
      <c r="F114" s="296">
        <f>INDEX('Change in Proportion Layers'!$Z$8:$Z$321,MATCH('OPEB Amounts_Report'!A114,'Change in Proportion Layers'!$A$8:$A$321,0))</f>
        <v>46414</v>
      </c>
      <c r="G114" s="70">
        <f t="shared" si="3"/>
        <v>130743</v>
      </c>
      <c r="H114" s="70"/>
      <c r="I114" s="70">
        <f>ROUND(VLOOKUP(A114,'Contribution Allocation_Report'!$A$9:$D$310,4,FALSE)*'OPEB Amounts_Report'!$I$323,0)</f>
        <v>62602</v>
      </c>
      <c r="J114" s="70">
        <f>ROUND(VLOOKUP(A114,'Contribution Allocation_Report'!$A$9:$D$310,4,FALSE)*'OPEB Amounts_Report'!$J$323,0)</f>
        <v>11252</v>
      </c>
      <c r="K114" s="70">
        <f>ROUND(VLOOKUP(A114,'Contribution Allocation_Report'!$A$9:$D$310,4,FALSE)*'OPEB Amounts_Report'!$K$323,0)</f>
        <v>141917</v>
      </c>
      <c r="L114" s="70">
        <f>INDEX('Change in Proportion Layers'!$AA$8:$AA$321,MATCH('OPEB Amounts_Report'!A114,'Change in Proportion Layers'!$A$8:$A$321,0))</f>
        <v>16060</v>
      </c>
      <c r="M114" s="70">
        <f t="shared" si="4"/>
        <v>231831</v>
      </c>
      <c r="N114" s="71"/>
      <c r="O114" s="71">
        <f>ROUND(VLOOKUP(A114,'Contribution Allocation_Report'!$A$9:$D$310,4,FALSE)*'OPEB Amounts_Report'!$O$323,0)</f>
        <v>-42273</v>
      </c>
      <c r="P114" s="71">
        <f>INDEX('Change in Proportion Layers'!$X$8:$X$321,MATCH('OPEB Amounts_Report'!A114,'Change in Proportion Layers'!$A$8:$A$321,0))</f>
        <v>1105</v>
      </c>
      <c r="Q114" s="71">
        <f t="shared" si="5"/>
        <v>-41168</v>
      </c>
    </row>
    <row r="115" spans="1:17" ht="12" customHeight="1">
      <c r="A115" s="254">
        <v>13041</v>
      </c>
      <c r="B115" s="255" t="s">
        <v>105</v>
      </c>
      <c r="C115" s="89">
        <f>ROUND(VLOOKUP(A115,'Contribution Allocation_Report'!$A$9:$D$310,4,FALSE)*'OPEB Amounts_Report'!$C$323,0)</f>
        <v>53414880</v>
      </c>
      <c r="D115" s="89">
        <f>ROUND(VLOOKUP(A115,'Contribution Allocation_Report'!$A$9:$D$310,4,FALSE)*'OPEB Amounts_Report'!$D$323,0)</f>
        <v>780996</v>
      </c>
      <c r="E115" s="89">
        <f>ROUND(VLOOKUP(A115,'Contribution Allocation_Report'!$A$9:$D$310,4,FALSE)*'OPEB Amounts_Report'!$E$323,0)</f>
        <v>10694154</v>
      </c>
      <c r="F115" s="89">
        <f>INDEX('Change in Proportion Layers'!$Z$8:$Z$321,MATCH('OPEB Amounts_Report'!A115,'Change in Proportion Layers'!$A$8:$A$321,0))</f>
        <v>1606587</v>
      </c>
      <c r="G115" s="89">
        <f t="shared" si="3"/>
        <v>13081737</v>
      </c>
      <c r="H115" s="89"/>
      <c r="I115" s="89">
        <f>ROUND(VLOOKUP(A115,'Contribution Allocation_Report'!$A$9:$D$310,4,FALSE)*'OPEB Amounts_Report'!$I$323,0)</f>
        <v>8518562</v>
      </c>
      <c r="J115" s="89">
        <f>ROUND(VLOOKUP(A115,'Contribution Allocation_Report'!$A$9:$D$310,4,FALSE)*'OPEB Amounts_Report'!$J$323,0)</f>
        <v>1531092</v>
      </c>
      <c r="K115" s="89">
        <f>ROUND(VLOOKUP(A115,'Contribution Allocation_Report'!$A$9:$D$310,4,FALSE)*'OPEB Amounts_Report'!$K$323,0)</f>
        <v>19311373</v>
      </c>
      <c r="L115" s="89">
        <f>INDEX('Change in Proportion Layers'!$AA$8:$AA$321,MATCH('OPEB Amounts_Report'!A115,'Change in Proportion Layers'!$A$8:$A$321,0))</f>
        <v>3380350</v>
      </c>
      <c r="M115" s="89">
        <f t="shared" si="4"/>
        <v>32741377</v>
      </c>
      <c r="N115" s="90"/>
      <c r="O115" s="90">
        <f>ROUND(VLOOKUP(A115,'Contribution Allocation_Report'!$A$9:$D$310,4,FALSE)*'OPEB Amounts_Report'!$O$323,0)</f>
        <v>-5752336</v>
      </c>
      <c r="P115" s="90">
        <f>INDEX('Change in Proportion Layers'!$X$8:$X$321,MATCH('OPEB Amounts_Report'!A115,'Change in Proportion Layers'!$A$8:$A$321,0))</f>
        <v>27053</v>
      </c>
      <c r="Q115" s="90">
        <f t="shared" si="5"/>
        <v>-5725283</v>
      </c>
    </row>
    <row r="116" spans="1:17" ht="12" customHeight="1">
      <c r="A116" s="62">
        <v>2339</v>
      </c>
      <c r="B116" s="66" t="s">
        <v>106</v>
      </c>
      <c r="C116" s="70">
        <f>ROUND(VLOOKUP(A116,'Contribution Allocation_Report'!$A$9:$D$310,4,FALSE)*'OPEB Amounts_Report'!$C$323,0)</f>
        <v>786723</v>
      </c>
      <c r="D116" s="70">
        <f>ROUND(VLOOKUP(A116,'Contribution Allocation_Report'!$A$9:$D$310,4,FALSE)*'OPEB Amounts_Report'!$D$323,0)</f>
        <v>11503</v>
      </c>
      <c r="E116" s="70">
        <f>ROUND(VLOOKUP(A116,'Contribution Allocation_Report'!$A$9:$D$310,4,FALSE)*'OPEB Amounts_Report'!$E$323,0)</f>
        <v>157509</v>
      </c>
      <c r="F116" s="70">
        <f>INDEX('Change in Proportion Layers'!$Z$8:$Z$321,MATCH('OPEB Amounts_Report'!A116,'Change in Proportion Layers'!$A$8:$A$321,0))</f>
        <v>38719</v>
      </c>
      <c r="G116" s="70">
        <f t="shared" si="3"/>
        <v>207731</v>
      </c>
      <c r="H116" s="70"/>
      <c r="I116" s="70">
        <f>ROUND(VLOOKUP(A116,'Contribution Allocation_Report'!$A$9:$D$310,4,FALSE)*'OPEB Amounts_Report'!$I$323,0)</f>
        <v>125466</v>
      </c>
      <c r="J116" s="70">
        <f>ROUND(VLOOKUP(A116,'Contribution Allocation_Report'!$A$9:$D$310,4,FALSE)*'OPEB Amounts_Report'!$J$323,0)</f>
        <v>22551</v>
      </c>
      <c r="K116" s="70">
        <f>ROUND(VLOOKUP(A116,'Contribution Allocation_Report'!$A$9:$D$310,4,FALSE)*'OPEB Amounts_Report'!$K$323,0)</f>
        <v>284428</v>
      </c>
      <c r="L116" s="70">
        <f>INDEX('Change in Proportion Layers'!$AA$8:$AA$321,MATCH('OPEB Amounts_Report'!A116,'Change in Proportion Layers'!$A$8:$A$321,0))</f>
        <v>82272</v>
      </c>
      <c r="M116" s="70">
        <f t="shared" si="4"/>
        <v>514717</v>
      </c>
      <c r="N116" s="71"/>
      <c r="O116" s="71">
        <f>ROUND(VLOOKUP(A116,'Contribution Allocation_Report'!$A$9:$D$310,4,FALSE)*'OPEB Amounts_Report'!$O$323,0)</f>
        <v>-84723</v>
      </c>
      <c r="P116" s="71">
        <f>INDEX('Change in Proportion Layers'!$X$8:$X$321,MATCH('OPEB Amounts_Report'!A116,'Change in Proportion Layers'!$A$8:$A$321,0))</f>
        <v>-29133</v>
      </c>
      <c r="Q116" s="71">
        <f t="shared" si="5"/>
        <v>-113856</v>
      </c>
    </row>
    <row r="117" spans="1:17" ht="12" customHeight="1">
      <c r="A117" s="254">
        <v>2362</v>
      </c>
      <c r="B117" s="255" t="s">
        <v>107</v>
      </c>
      <c r="C117" s="89">
        <f>ROUND(VLOOKUP(A117,'Contribution Allocation_Report'!$A$9:$D$310,4,FALSE)*'OPEB Amounts_Report'!$C$323,0)</f>
        <v>1006518</v>
      </c>
      <c r="D117" s="89">
        <f>ROUND(VLOOKUP(A117,'Contribution Allocation_Report'!$A$9:$D$310,4,FALSE)*'OPEB Amounts_Report'!$D$323,0)</f>
        <v>14717</v>
      </c>
      <c r="E117" s="89">
        <f>ROUND(VLOOKUP(A117,'Contribution Allocation_Report'!$A$9:$D$310,4,FALSE)*'OPEB Amounts_Report'!$E$323,0)</f>
        <v>201514</v>
      </c>
      <c r="F117" s="89">
        <f>INDEX('Change in Proportion Layers'!$Z$8:$Z$321,MATCH('OPEB Amounts_Report'!A117,'Change in Proportion Layers'!$A$8:$A$321,0))</f>
        <v>108077</v>
      </c>
      <c r="G117" s="89">
        <f t="shared" si="3"/>
        <v>324308</v>
      </c>
      <c r="H117" s="89"/>
      <c r="I117" s="89">
        <f>ROUND(VLOOKUP(A117,'Contribution Allocation_Report'!$A$9:$D$310,4,FALSE)*'OPEB Amounts_Report'!$I$323,0)</f>
        <v>160519</v>
      </c>
      <c r="J117" s="89">
        <f>ROUND(VLOOKUP(A117,'Contribution Allocation_Report'!$A$9:$D$310,4,FALSE)*'OPEB Amounts_Report'!$J$323,0)</f>
        <v>28851</v>
      </c>
      <c r="K117" s="89">
        <f>ROUND(VLOOKUP(A117,'Contribution Allocation_Report'!$A$9:$D$310,4,FALSE)*'OPEB Amounts_Report'!$K$323,0)</f>
        <v>363892</v>
      </c>
      <c r="L117" s="89">
        <f>INDEX('Change in Proportion Layers'!$AA$8:$AA$321,MATCH('OPEB Amounts_Report'!A117,'Change in Proportion Layers'!$A$8:$A$321,0))</f>
        <v>563312</v>
      </c>
      <c r="M117" s="89">
        <f t="shared" si="4"/>
        <v>1116574</v>
      </c>
      <c r="N117" s="90"/>
      <c r="O117" s="90">
        <f>ROUND(VLOOKUP(A117,'Contribution Allocation_Report'!$A$9:$D$310,4,FALSE)*'OPEB Amounts_Report'!$O$323,0)</f>
        <v>-108394</v>
      </c>
      <c r="P117" s="90">
        <f>INDEX('Change in Proportion Layers'!$X$8:$X$321,MATCH('OPEB Amounts_Report'!A117,'Change in Proportion Layers'!$A$8:$A$321,0))</f>
        <v>-57448</v>
      </c>
      <c r="Q117" s="90">
        <f t="shared" si="5"/>
        <v>-165842</v>
      </c>
    </row>
    <row r="118" spans="1:17" ht="12" customHeight="1">
      <c r="A118" s="62">
        <v>5013</v>
      </c>
      <c r="B118" s="66" t="s">
        <v>108</v>
      </c>
      <c r="C118" s="70">
        <f>ROUND(VLOOKUP(A118,'Contribution Allocation_Report'!$A$9:$D$310,4,FALSE)*'OPEB Amounts_Report'!$C$323,0)</f>
        <v>964731</v>
      </c>
      <c r="D118" s="70">
        <f>ROUND(VLOOKUP(A118,'Contribution Allocation_Report'!$A$9:$D$310,4,FALSE)*'OPEB Amounts_Report'!$D$323,0)</f>
        <v>14106</v>
      </c>
      <c r="E118" s="70">
        <f>ROUND(VLOOKUP(A118,'Contribution Allocation_Report'!$A$9:$D$310,4,FALSE)*'OPEB Amounts_Report'!$E$323,0)</f>
        <v>193148</v>
      </c>
      <c r="F118" s="70">
        <f>INDEX('Change in Proportion Layers'!$Z$8:$Z$321,MATCH('OPEB Amounts_Report'!A118,'Change in Proportion Layers'!$A$8:$A$321,0))</f>
        <v>47297</v>
      </c>
      <c r="G118" s="70">
        <f t="shared" si="3"/>
        <v>254551</v>
      </c>
      <c r="H118" s="70"/>
      <c r="I118" s="70">
        <f>ROUND(VLOOKUP(A118,'Contribution Allocation_Report'!$A$9:$D$310,4,FALSE)*'OPEB Amounts_Report'!$I$323,0)</f>
        <v>153854</v>
      </c>
      <c r="J118" s="70">
        <f>ROUND(VLOOKUP(A118,'Contribution Allocation_Report'!$A$9:$D$310,4,FALSE)*'OPEB Amounts_Report'!$J$323,0)</f>
        <v>27653</v>
      </c>
      <c r="K118" s="70">
        <f>ROUND(VLOOKUP(A118,'Contribution Allocation_Report'!$A$9:$D$310,4,FALSE)*'OPEB Amounts_Report'!$K$323,0)</f>
        <v>348784</v>
      </c>
      <c r="L118" s="296">
        <f>INDEX('Change in Proportion Layers'!$AA$8:$AA$321,MATCH('OPEB Amounts_Report'!A118,'Change in Proportion Layers'!$A$8:$A$321,0))</f>
        <v>6216</v>
      </c>
      <c r="M118" s="70">
        <f t="shared" si="4"/>
        <v>536507</v>
      </c>
      <c r="N118" s="71"/>
      <c r="O118" s="71">
        <f>ROUND(VLOOKUP(A118,'Contribution Allocation_Report'!$A$9:$D$310,4,FALSE)*'OPEB Amounts_Report'!$O$323,0)</f>
        <v>-103893</v>
      </c>
      <c r="P118" s="71">
        <f>INDEX('Change in Proportion Layers'!$X$8:$X$321,MATCH('OPEB Amounts_Report'!A118,'Change in Proportion Layers'!$A$8:$A$321,0))</f>
        <v>7508</v>
      </c>
      <c r="Q118" s="71">
        <f t="shared" si="5"/>
        <v>-96385</v>
      </c>
    </row>
    <row r="119" spans="1:17" ht="12" customHeight="1">
      <c r="A119" s="254">
        <v>3110</v>
      </c>
      <c r="B119" s="255" t="s">
        <v>109</v>
      </c>
      <c r="C119" s="89">
        <f>ROUND(VLOOKUP(A119,'Contribution Allocation_Report'!$A$9:$D$310,4,FALSE)*'OPEB Amounts_Report'!$C$323,0)</f>
        <v>4871034</v>
      </c>
      <c r="D119" s="89">
        <f>ROUND(VLOOKUP(A119,'Contribution Allocation_Report'!$A$9:$D$310,4,FALSE)*'OPEB Amounts_Report'!$D$323,0)</f>
        <v>71221</v>
      </c>
      <c r="E119" s="89">
        <f>ROUND(VLOOKUP(A119,'Contribution Allocation_Report'!$A$9:$D$310,4,FALSE)*'OPEB Amounts_Report'!$E$323,0)</f>
        <v>975226</v>
      </c>
      <c r="F119" s="89">
        <f>INDEX('Change in Proportion Layers'!$Z$8:$Z$321,MATCH('OPEB Amounts_Report'!A119,'Change in Proportion Layers'!$A$8:$A$321,0))</f>
        <v>17343</v>
      </c>
      <c r="G119" s="89">
        <f t="shared" si="3"/>
        <v>1063790</v>
      </c>
      <c r="H119" s="89"/>
      <c r="I119" s="89">
        <f>ROUND(VLOOKUP(A119,'Contribution Allocation_Report'!$A$9:$D$310,4,FALSE)*'OPEB Amounts_Report'!$I$323,0)</f>
        <v>776829</v>
      </c>
      <c r="J119" s="89">
        <f>ROUND(VLOOKUP(A119,'Contribution Allocation_Report'!$A$9:$D$310,4,FALSE)*'OPEB Amounts_Report'!$J$323,0)</f>
        <v>139624</v>
      </c>
      <c r="K119" s="89">
        <f>ROUND(VLOOKUP(A119,'Contribution Allocation_Report'!$A$9:$D$310,4,FALSE)*'OPEB Amounts_Report'!$K$323,0)</f>
        <v>1761051</v>
      </c>
      <c r="L119" s="89">
        <f>INDEX('Change in Proportion Layers'!$AA$8:$AA$321,MATCH('OPEB Amounts_Report'!A119,'Change in Proportion Layers'!$A$8:$A$321,0))</f>
        <v>484672</v>
      </c>
      <c r="M119" s="89">
        <f t="shared" si="4"/>
        <v>3162176</v>
      </c>
      <c r="N119" s="90"/>
      <c r="O119" s="90">
        <f>ROUND(VLOOKUP(A119,'Contribution Allocation_Report'!$A$9:$D$310,4,FALSE)*'OPEB Amounts_Report'!$O$323,0)</f>
        <v>-524570</v>
      </c>
      <c r="P119" s="90">
        <f>INDEX('Change in Proportion Layers'!$X$8:$X$321,MATCH('OPEB Amounts_Report'!A119,'Change in Proportion Layers'!$A$8:$A$321,0))</f>
        <v>-169805</v>
      </c>
      <c r="Q119" s="90">
        <f t="shared" si="5"/>
        <v>-694375</v>
      </c>
    </row>
    <row r="120" spans="1:17" ht="12" customHeight="1">
      <c r="A120" s="62">
        <v>14044</v>
      </c>
      <c r="B120" s="66" t="s">
        <v>110</v>
      </c>
      <c r="C120" s="70">
        <f>ROUND(VLOOKUP(A120,'Contribution Allocation_Report'!$A$9:$D$310,4,FALSE)*'OPEB Amounts_Report'!$C$323,0)</f>
        <v>15514657</v>
      </c>
      <c r="D120" s="70">
        <f>ROUND(VLOOKUP(A120,'Contribution Allocation_Report'!$A$9:$D$310,4,FALSE)*'OPEB Amounts_Report'!$D$323,0)</f>
        <v>226845</v>
      </c>
      <c r="E120" s="70">
        <f>ROUND(VLOOKUP(A120,'Contribution Allocation_Report'!$A$9:$D$310,4,FALSE)*'OPEB Amounts_Report'!$E$323,0)</f>
        <v>3106178</v>
      </c>
      <c r="F120" s="70">
        <f>INDEX('Change in Proportion Layers'!$Z$8:$Z$321,MATCH('OPEB Amounts_Report'!A120,'Change in Proportion Layers'!$A$8:$A$321,0))</f>
        <v>655493</v>
      </c>
      <c r="G120" s="70">
        <f t="shared" si="3"/>
        <v>3988516</v>
      </c>
      <c r="H120" s="70"/>
      <c r="I120" s="70">
        <f>ROUND(VLOOKUP(A120,'Contribution Allocation_Report'!$A$9:$D$310,4,FALSE)*'OPEB Amounts_Report'!$I$323,0)</f>
        <v>2474265</v>
      </c>
      <c r="J120" s="70">
        <f>ROUND(VLOOKUP(A120,'Contribution Allocation_Report'!$A$9:$D$310,4,FALSE)*'OPEB Amounts_Report'!$J$323,0)</f>
        <v>444715</v>
      </c>
      <c r="K120" s="70">
        <f>ROUND(VLOOKUP(A120,'Contribution Allocation_Report'!$A$9:$D$310,4,FALSE)*'OPEB Amounts_Report'!$K$323,0)</f>
        <v>5609099</v>
      </c>
      <c r="L120" s="70">
        <f>INDEX('Change in Proportion Layers'!$AA$8:$AA$321,MATCH('OPEB Amounts_Report'!A120,'Change in Proportion Layers'!$A$8:$A$321,0))</f>
        <v>653487</v>
      </c>
      <c r="M120" s="70">
        <f t="shared" si="4"/>
        <v>9181566</v>
      </c>
      <c r="N120" s="71"/>
      <c r="O120" s="71">
        <f>ROUND(VLOOKUP(A120,'Contribution Allocation_Report'!$A$9:$D$310,4,FALSE)*'OPEB Amounts_Report'!$O$323,0)</f>
        <v>-1670799</v>
      </c>
      <c r="P120" s="71">
        <f>INDEX('Change in Proportion Layers'!$X$8:$X$321,MATCH('OPEB Amounts_Report'!A120,'Change in Proportion Layers'!$A$8:$A$321,0))</f>
        <v>-51878</v>
      </c>
      <c r="Q120" s="71">
        <f t="shared" si="5"/>
        <v>-1722677</v>
      </c>
    </row>
    <row r="121" spans="1:17" ht="12" customHeight="1">
      <c r="A121" s="254">
        <v>4009</v>
      </c>
      <c r="B121" s="255" t="s">
        <v>111</v>
      </c>
      <c r="C121" s="89">
        <f>ROUND(VLOOKUP(A121,'Contribution Allocation_Report'!$A$9:$D$310,4,FALSE)*'OPEB Amounts_Report'!$C$323,0)</f>
        <v>2075882</v>
      </c>
      <c r="D121" s="89">
        <f>ROUND(VLOOKUP(A121,'Contribution Allocation_Report'!$A$9:$D$310,4,FALSE)*'OPEB Amounts_Report'!$D$323,0)</f>
        <v>30352</v>
      </c>
      <c r="E121" s="89">
        <f>ROUND(VLOOKUP(A121,'Contribution Allocation_Report'!$A$9:$D$310,4,FALSE)*'OPEB Amounts_Report'!$E$323,0)</f>
        <v>415611</v>
      </c>
      <c r="F121" s="89">
        <f>INDEX('Change in Proportion Layers'!$Z$8:$Z$321,MATCH('OPEB Amounts_Report'!A121,'Change in Proportion Layers'!$A$8:$A$321,0))</f>
        <v>28439</v>
      </c>
      <c r="G121" s="89">
        <f t="shared" si="3"/>
        <v>474402</v>
      </c>
      <c r="H121" s="89"/>
      <c r="I121" s="89">
        <f>ROUND(VLOOKUP(A121,'Contribution Allocation_Report'!$A$9:$D$310,4,FALSE)*'OPEB Amounts_Report'!$I$323,0)</f>
        <v>331060</v>
      </c>
      <c r="J121" s="89">
        <f>ROUND(VLOOKUP(A121,'Contribution Allocation_Report'!$A$9:$D$310,4,FALSE)*'OPEB Amounts_Report'!$J$323,0)</f>
        <v>59503</v>
      </c>
      <c r="K121" s="89">
        <f>ROUND(VLOOKUP(A121,'Contribution Allocation_Report'!$A$9:$D$310,4,FALSE)*'OPEB Amounts_Report'!$K$323,0)</f>
        <v>750505</v>
      </c>
      <c r="L121" s="89">
        <f>INDEX('Change in Proportion Layers'!$AA$8:$AA$321,MATCH('OPEB Amounts_Report'!A121,'Change in Proportion Layers'!$A$8:$A$321,0))</f>
        <v>284567</v>
      </c>
      <c r="M121" s="89">
        <f t="shared" si="4"/>
        <v>1425635</v>
      </c>
      <c r="N121" s="90"/>
      <c r="O121" s="90">
        <f>ROUND(VLOOKUP(A121,'Contribution Allocation_Report'!$A$9:$D$310,4,FALSE)*'OPEB Amounts_Report'!$O$323,0)</f>
        <v>-223555</v>
      </c>
      <c r="P121" s="90">
        <f>INDEX('Change in Proportion Layers'!$X$8:$X$321,MATCH('OPEB Amounts_Report'!A121,'Change in Proportion Layers'!$A$8:$A$321,0))</f>
        <v>-64176</v>
      </c>
      <c r="Q121" s="90">
        <f t="shared" si="5"/>
        <v>-287731</v>
      </c>
    </row>
    <row r="122" spans="1:17" ht="12" customHeight="1">
      <c r="A122" s="62">
        <v>7022</v>
      </c>
      <c r="B122" s="66" t="s">
        <v>112</v>
      </c>
      <c r="C122" s="70">
        <f>ROUND(VLOOKUP(A122,'Contribution Allocation_Report'!$A$9:$D$310,4,FALSE)*'OPEB Amounts_Report'!$C$323,0)</f>
        <v>5490278</v>
      </c>
      <c r="D122" s="70">
        <f>ROUND(VLOOKUP(A122,'Contribution Allocation_Report'!$A$9:$D$310,4,FALSE)*'OPEB Amounts_Report'!$D$323,0)</f>
        <v>80275</v>
      </c>
      <c r="E122" s="70">
        <f>ROUND(VLOOKUP(A122,'Contribution Allocation_Report'!$A$9:$D$310,4,FALSE)*'OPEB Amounts_Report'!$E$323,0)</f>
        <v>1099204</v>
      </c>
      <c r="F122" s="70">
        <f>INDEX('Change in Proportion Layers'!$Z$8:$Z$321,MATCH('OPEB Amounts_Report'!A122,'Change in Proportion Layers'!$A$8:$A$321,0))</f>
        <v>222621</v>
      </c>
      <c r="G122" s="70">
        <f t="shared" si="3"/>
        <v>1402100</v>
      </c>
      <c r="H122" s="70"/>
      <c r="I122" s="70">
        <f>ROUND(VLOOKUP(A122,'Contribution Allocation_Report'!$A$9:$D$310,4,FALSE)*'OPEB Amounts_Report'!$I$323,0)</f>
        <v>875585</v>
      </c>
      <c r="J122" s="70">
        <f>ROUND(VLOOKUP(A122,'Contribution Allocation_Report'!$A$9:$D$310,4,FALSE)*'OPEB Amounts_Report'!$J$323,0)</f>
        <v>157374</v>
      </c>
      <c r="K122" s="70">
        <f>ROUND(VLOOKUP(A122,'Contribution Allocation_Report'!$A$9:$D$310,4,FALSE)*'OPEB Amounts_Report'!$K$323,0)</f>
        <v>1984930</v>
      </c>
      <c r="L122" s="296">
        <f>INDEX('Change in Proportion Layers'!$AA$8:$AA$321,MATCH('OPEB Amounts_Report'!A122,'Change in Proportion Layers'!$A$8:$A$321,0))</f>
        <v>125780</v>
      </c>
      <c r="M122" s="70">
        <f t="shared" si="4"/>
        <v>3143669</v>
      </c>
      <c r="N122" s="71"/>
      <c r="O122" s="71">
        <f>ROUND(VLOOKUP(A122,'Contribution Allocation_Report'!$A$9:$D$310,4,FALSE)*'OPEB Amounts_Report'!$O$323,0)</f>
        <v>-591257</v>
      </c>
      <c r="P122" s="71">
        <f>INDEX('Change in Proportion Layers'!$X$8:$X$321,MATCH('OPEB Amounts_Report'!A122,'Change in Proportion Layers'!$A$8:$A$321,0))</f>
        <v>23444</v>
      </c>
      <c r="Q122" s="71">
        <f t="shared" si="5"/>
        <v>-567813</v>
      </c>
    </row>
    <row r="123" spans="1:17" ht="12" customHeight="1">
      <c r="A123" s="254">
        <v>2430</v>
      </c>
      <c r="B123" s="255" t="s">
        <v>113</v>
      </c>
      <c r="C123" s="89">
        <f>ROUND(VLOOKUP(A123,'Contribution Allocation_Report'!$A$9:$D$310,4,FALSE)*'OPEB Amounts_Report'!$C$323,0)</f>
        <v>851543</v>
      </c>
      <c r="D123" s="89">
        <f>ROUND(VLOOKUP(A123,'Contribution Allocation_Report'!$A$9:$D$310,4,FALSE)*'OPEB Amounts_Report'!$D$323,0)</f>
        <v>12451</v>
      </c>
      <c r="E123" s="89">
        <f>ROUND(VLOOKUP(A123,'Contribution Allocation_Report'!$A$9:$D$310,4,FALSE)*'OPEB Amounts_Report'!$E$323,0)</f>
        <v>170487</v>
      </c>
      <c r="F123" s="89">
        <f>INDEX('Change in Proportion Layers'!$Z$8:$Z$321,MATCH('OPEB Amounts_Report'!A123,'Change in Proportion Layers'!$A$8:$A$321,0))</f>
        <v>45444</v>
      </c>
      <c r="G123" s="89">
        <f t="shared" si="3"/>
        <v>228382</v>
      </c>
      <c r="H123" s="89"/>
      <c r="I123" s="89">
        <f>ROUND(VLOOKUP(A123,'Contribution Allocation_Report'!$A$9:$D$310,4,FALSE)*'OPEB Amounts_Report'!$I$323,0)</f>
        <v>135803</v>
      </c>
      <c r="J123" s="89">
        <f>ROUND(VLOOKUP(A123,'Contribution Allocation_Report'!$A$9:$D$310,4,FALSE)*'OPEB Amounts_Report'!$J$323,0)</f>
        <v>24409</v>
      </c>
      <c r="K123" s="89">
        <f>ROUND(VLOOKUP(A123,'Contribution Allocation_Report'!$A$9:$D$310,4,FALSE)*'OPEB Amounts_Report'!$K$323,0)</f>
        <v>307863</v>
      </c>
      <c r="L123" s="89">
        <f>INDEX('Change in Proportion Layers'!$AA$8:$AA$321,MATCH('OPEB Amounts_Report'!A123,'Change in Proportion Layers'!$A$8:$A$321,0))</f>
        <v>207890</v>
      </c>
      <c r="M123" s="89">
        <f t="shared" si="4"/>
        <v>675965</v>
      </c>
      <c r="N123" s="90"/>
      <c r="O123" s="90">
        <f>ROUND(VLOOKUP(A123,'Contribution Allocation_Report'!$A$9:$D$310,4,FALSE)*'OPEB Amounts_Report'!$O$323,0)</f>
        <v>-91704</v>
      </c>
      <c r="P123" s="90">
        <f>INDEX('Change in Proportion Layers'!$X$8:$X$321,MATCH('OPEB Amounts_Report'!A123,'Change in Proportion Layers'!$A$8:$A$321,0))</f>
        <v>-27442</v>
      </c>
      <c r="Q123" s="90">
        <f t="shared" si="5"/>
        <v>-119146</v>
      </c>
    </row>
    <row r="124" spans="1:17" ht="12" customHeight="1">
      <c r="A124" s="62">
        <v>9150</v>
      </c>
      <c r="B124" s="66" t="s">
        <v>114</v>
      </c>
      <c r="C124" s="70">
        <f>ROUND(VLOOKUP(A124,'Contribution Allocation_Report'!$A$9:$D$310,4,FALSE)*'OPEB Amounts_Report'!$C$323,0)</f>
        <v>456042</v>
      </c>
      <c r="D124" s="70">
        <f>ROUND(VLOOKUP(A124,'Contribution Allocation_Report'!$A$9:$D$310,4,FALSE)*'OPEB Amounts_Report'!$D$323,0)</f>
        <v>6668</v>
      </c>
      <c r="E124" s="70">
        <f>ROUND(VLOOKUP(A124,'Contribution Allocation_Report'!$A$9:$D$310,4,FALSE)*'OPEB Amounts_Report'!$E$323,0)</f>
        <v>91304</v>
      </c>
      <c r="F124" s="70">
        <f>INDEX('Change in Proportion Layers'!$Z$8:$Z$321,MATCH('OPEB Amounts_Report'!A124,'Change in Proportion Layers'!$A$8:$A$321,0))</f>
        <v>0</v>
      </c>
      <c r="G124" s="70">
        <f t="shared" si="3"/>
        <v>97972</v>
      </c>
      <c r="H124" s="70"/>
      <c r="I124" s="70">
        <f>ROUND(VLOOKUP(A124,'Contribution Allocation_Report'!$A$9:$D$310,4,FALSE)*'OPEB Amounts_Report'!$I$323,0)</f>
        <v>72729</v>
      </c>
      <c r="J124" s="70">
        <f>ROUND(VLOOKUP(A124,'Contribution Allocation_Report'!$A$9:$D$310,4,FALSE)*'OPEB Amounts_Report'!$J$323,0)</f>
        <v>13072</v>
      </c>
      <c r="K124" s="70">
        <f>ROUND(VLOOKUP(A124,'Contribution Allocation_Report'!$A$9:$D$310,4,FALSE)*'OPEB Amounts_Report'!$K$323,0)</f>
        <v>164876</v>
      </c>
      <c r="L124" s="296">
        <f>INDEX('Change in Proportion Layers'!$AA$8:$AA$321,MATCH('OPEB Amounts_Report'!A124,'Change in Proportion Layers'!$A$8:$A$321,0))</f>
        <v>1342523</v>
      </c>
      <c r="M124" s="70">
        <f t="shared" si="4"/>
        <v>1593200</v>
      </c>
      <c r="N124" s="71"/>
      <c r="O124" s="71">
        <f>ROUND(VLOOKUP(A124,'Contribution Allocation_Report'!$A$9:$D$310,4,FALSE)*'OPEB Amounts_Report'!$O$323,0)</f>
        <v>-49112</v>
      </c>
      <c r="P124" s="71">
        <f>INDEX('Change in Proportion Layers'!$X$8:$X$321,MATCH('OPEB Amounts_Report'!A124,'Change in Proportion Layers'!$A$8:$A$321,0))</f>
        <v>-585469</v>
      </c>
      <c r="Q124" s="71">
        <f t="shared" si="5"/>
        <v>-634581</v>
      </c>
    </row>
    <row r="125" spans="1:17" ht="12" customHeight="1">
      <c r="A125" s="254">
        <v>6017</v>
      </c>
      <c r="B125" s="255" t="s">
        <v>115</v>
      </c>
      <c r="C125" s="89">
        <f>ROUND(VLOOKUP(A125,'Contribution Allocation_Report'!$A$9:$D$310,4,FALSE)*'OPEB Amounts_Report'!$C$323,0)</f>
        <v>41908527</v>
      </c>
      <c r="D125" s="89">
        <f>ROUND(VLOOKUP(A125,'Contribution Allocation_Report'!$A$9:$D$310,4,FALSE)*'OPEB Amounts_Report'!$D$323,0)</f>
        <v>612758</v>
      </c>
      <c r="E125" s="89">
        <f>ROUND(VLOOKUP(A125,'Contribution Allocation_Report'!$A$9:$D$310,4,FALSE)*'OPEB Amounts_Report'!$E$323,0)</f>
        <v>8390475</v>
      </c>
      <c r="F125" s="297">
        <f>INDEX('Change in Proportion Layers'!$Z$8:$Z$321,MATCH('OPEB Amounts_Report'!A125,'Change in Proportion Layers'!$A$8:$A$321,0))</f>
        <v>6170066</v>
      </c>
      <c r="G125" s="89">
        <f t="shared" si="3"/>
        <v>15173299</v>
      </c>
      <c r="H125" s="89"/>
      <c r="I125" s="89">
        <f>ROUND(VLOOKUP(A125,'Contribution Allocation_Report'!$A$9:$D$310,4,FALSE)*'OPEB Amounts_Report'!$I$323,0)</f>
        <v>6683538</v>
      </c>
      <c r="J125" s="89">
        <f>ROUND(VLOOKUP(A125,'Contribution Allocation_Report'!$A$9:$D$310,4,FALSE)*'OPEB Amounts_Report'!$J$323,0)</f>
        <v>1201273</v>
      </c>
      <c r="K125" s="89">
        <f>ROUND(VLOOKUP(A125,'Contribution Allocation_Report'!$A$9:$D$310,4,FALSE)*'OPEB Amounts_Report'!$K$323,0)</f>
        <v>15151418</v>
      </c>
      <c r="L125" s="89">
        <f>INDEX('Change in Proportion Layers'!$AA$8:$AA$321,MATCH('OPEB Amounts_Report'!A125,'Change in Proportion Layers'!$A$8:$A$321,0))</f>
        <v>1526607</v>
      </c>
      <c r="M125" s="89">
        <f t="shared" si="4"/>
        <v>24562836</v>
      </c>
      <c r="N125" s="90"/>
      <c r="O125" s="90">
        <f>ROUND(VLOOKUP(A125,'Contribution Allocation_Report'!$A$9:$D$310,4,FALSE)*'OPEB Amounts_Report'!$O$323,0)</f>
        <v>-4513198</v>
      </c>
      <c r="P125" s="90">
        <f>INDEX('Change in Proportion Layers'!$X$8:$X$321,MATCH('OPEB Amounts_Report'!A125,'Change in Proportion Layers'!$A$8:$A$321,0))</f>
        <v>577682</v>
      </c>
      <c r="Q125" s="90">
        <f t="shared" si="5"/>
        <v>-3935516</v>
      </c>
    </row>
    <row r="126" spans="1:17" ht="12" customHeight="1">
      <c r="A126" s="62">
        <v>26080</v>
      </c>
      <c r="B126" s="66" t="s">
        <v>116</v>
      </c>
      <c r="C126" s="70">
        <f>ROUND(VLOOKUP(A126,'Contribution Allocation_Report'!$A$9:$D$310,4,FALSE)*'OPEB Amounts_Report'!$C$323,0)</f>
        <v>1145371</v>
      </c>
      <c r="D126" s="70">
        <f>ROUND(VLOOKUP(A126,'Contribution Allocation_Report'!$A$9:$D$310,4,FALSE)*'OPEB Amounts_Report'!$D$323,0)</f>
        <v>16747</v>
      </c>
      <c r="E126" s="70">
        <f>ROUND(VLOOKUP(A126,'Contribution Allocation_Report'!$A$9:$D$310,4,FALSE)*'OPEB Amounts_Report'!$E$323,0)</f>
        <v>229314</v>
      </c>
      <c r="F126" s="70">
        <f>INDEX('Change in Proportion Layers'!$Z$8:$Z$321,MATCH('OPEB Amounts_Report'!A126,'Change in Proportion Layers'!$A$8:$A$321,0))</f>
        <v>114178</v>
      </c>
      <c r="G126" s="70">
        <f t="shared" si="3"/>
        <v>360239</v>
      </c>
      <c r="H126" s="70"/>
      <c r="I126" s="70">
        <f>ROUND(VLOOKUP(A126,'Contribution Allocation_Report'!$A$9:$D$310,4,FALSE)*'OPEB Amounts_Report'!$I$323,0)</f>
        <v>182663</v>
      </c>
      <c r="J126" s="70">
        <f>ROUND(VLOOKUP(A126,'Contribution Allocation_Report'!$A$9:$D$310,4,FALSE)*'OPEB Amounts_Report'!$J$323,0)</f>
        <v>32831</v>
      </c>
      <c r="K126" s="70">
        <f>ROUND(VLOOKUP(A126,'Contribution Allocation_Report'!$A$9:$D$310,4,FALSE)*'OPEB Amounts_Report'!$K$323,0)</f>
        <v>414092</v>
      </c>
      <c r="L126" s="296">
        <f>INDEX('Change in Proportion Layers'!$AA$8:$AA$321,MATCH('OPEB Amounts_Report'!A126,'Change in Proportion Layers'!$A$8:$A$321,0))</f>
        <v>0</v>
      </c>
      <c r="M126" s="70">
        <f t="shared" si="4"/>
        <v>629586</v>
      </c>
      <c r="N126" s="71"/>
      <c r="O126" s="71">
        <f>ROUND(VLOOKUP(A126,'Contribution Allocation_Report'!$A$9:$D$310,4,FALSE)*'OPEB Amounts_Report'!$O$323,0)</f>
        <v>-123347</v>
      </c>
      <c r="P126" s="71">
        <f>INDEX('Change in Proportion Layers'!$X$8:$X$321,MATCH('OPEB Amounts_Report'!A126,'Change in Proportion Layers'!$A$8:$A$321,0))</f>
        <v>28324</v>
      </c>
      <c r="Q126" s="71">
        <f t="shared" si="5"/>
        <v>-95023</v>
      </c>
    </row>
    <row r="127" spans="1:17" ht="12" customHeight="1">
      <c r="A127" s="254">
        <v>2327</v>
      </c>
      <c r="B127" s="255" t="s">
        <v>117</v>
      </c>
      <c r="C127" s="89">
        <f>ROUND(VLOOKUP(A127,'Contribution Allocation_Report'!$A$9:$D$310,4,FALSE)*'OPEB Amounts_Report'!$C$323,0)</f>
        <v>1423076</v>
      </c>
      <c r="D127" s="89">
        <f>ROUND(VLOOKUP(A127,'Contribution Allocation_Report'!$A$9:$D$310,4,FALSE)*'OPEB Amounts_Report'!$D$323,0)</f>
        <v>20807</v>
      </c>
      <c r="E127" s="89">
        <f>ROUND(VLOOKUP(A127,'Contribution Allocation_Report'!$A$9:$D$310,4,FALSE)*'OPEB Amounts_Report'!$E$323,0)</f>
        <v>284913</v>
      </c>
      <c r="F127" s="297">
        <f>INDEX('Change in Proportion Layers'!$Z$8:$Z$321,MATCH('OPEB Amounts_Report'!A127,'Change in Proportion Layers'!$A$8:$A$321,0))</f>
        <v>108718</v>
      </c>
      <c r="G127" s="89">
        <f t="shared" si="3"/>
        <v>414438</v>
      </c>
      <c r="H127" s="89"/>
      <c r="I127" s="89">
        <f>ROUND(VLOOKUP(A127,'Contribution Allocation_Report'!$A$9:$D$310,4,FALSE)*'OPEB Amounts_Report'!$I$323,0)</f>
        <v>226951</v>
      </c>
      <c r="J127" s="89">
        <f>ROUND(VLOOKUP(A127,'Contribution Allocation_Report'!$A$9:$D$310,4,FALSE)*'OPEB Amounts_Report'!$J$323,0)</f>
        <v>40791</v>
      </c>
      <c r="K127" s="89">
        <f>ROUND(VLOOKUP(A127,'Contribution Allocation_Report'!$A$9:$D$310,4,FALSE)*'OPEB Amounts_Report'!$K$323,0)</f>
        <v>514493</v>
      </c>
      <c r="L127" s="89">
        <f>INDEX('Change in Proportion Layers'!$AA$8:$AA$321,MATCH('OPEB Amounts_Report'!A127,'Change in Proportion Layers'!$A$8:$A$321,0))</f>
        <v>173028</v>
      </c>
      <c r="M127" s="89">
        <f t="shared" si="4"/>
        <v>955263</v>
      </c>
      <c r="N127" s="90"/>
      <c r="O127" s="90">
        <f>ROUND(VLOOKUP(A127,'Contribution Allocation_Report'!$A$9:$D$310,4,FALSE)*'OPEB Amounts_Report'!$O$323,0)</f>
        <v>-153253</v>
      </c>
      <c r="P127" s="90">
        <f>INDEX('Change in Proportion Layers'!$X$8:$X$321,MATCH('OPEB Amounts_Report'!A127,'Change in Proportion Layers'!$A$8:$A$321,0))</f>
        <v>589</v>
      </c>
      <c r="Q127" s="90">
        <f t="shared" si="5"/>
        <v>-152664</v>
      </c>
    </row>
    <row r="128" spans="1:17" ht="12" customHeight="1">
      <c r="A128" s="62">
        <v>10119</v>
      </c>
      <c r="B128" s="66" t="s">
        <v>118</v>
      </c>
      <c r="C128" s="70">
        <f>ROUND(VLOOKUP(A128,'Contribution Allocation_Report'!$A$9:$D$310,4,FALSE)*'OPEB Amounts_Report'!$C$323,0)</f>
        <v>789684</v>
      </c>
      <c r="D128" s="70">
        <f>ROUND(VLOOKUP(A128,'Contribution Allocation_Report'!$A$9:$D$310,4,FALSE)*'OPEB Amounts_Report'!$D$323,0)</f>
        <v>11546</v>
      </c>
      <c r="E128" s="70">
        <f>ROUND(VLOOKUP(A128,'Contribution Allocation_Report'!$A$9:$D$310,4,FALSE)*'OPEB Amounts_Report'!$E$323,0)</f>
        <v>158102</v>
      </c>
      <c r="F128" s="70">
        <f>INDEX('Change in Proportion Layers'!$Z$8:$Z$321,MATCH('OPEB Amounts_Report'!A128,'Change in Proportion Layers'!$A$8:$A$321,0))</f>
        <v>22990</v>
      </c>
      <c r="G128" s="70">
        <f t="shared" si="3"/>
        <v>192638</v>
      </c>
      <c r="H128" s="70"/>
      <c r="I128" s="70">
        <f>ROUND(VLOOKUP(A128,'Contribution Allocation_Report'!$A$9:$D$310,4,FALSE)*'OPEB Amounts_Report'!$I$323,0)</f>
        <v>125938</v>
      </c>
      <c r="J128" s="70">
        <f>ROUND(VLOOKUP(A128,'Contribution Allocation_Report'!$A$9:$D$310,4,FALSE)*'OPEB Amounts_Report'!$J$323,0)</f>
        <v>22636</v>
      </c>
      <c r="K128" s="70">
        <f>ROUND(VLOOKUP(A128,'Contribution Allocation_Report'!$A$9:$D$310,4,FALSE)*'OPEB Amounts_Report'!$K$323,0)</f>
        <v>285499</v>
      </c>
      <c r="L128" s="70">
        <f>INDEX('Change in Proportion Layers'!$AA$8:$AA$321,MATCH('OPEB Amounts_Report'!A128,'Change in Proportion Layers'!$A$8:$A$321,0))</f>
        <v>126659</v>
      </c>
      <c r="M128" s="70">
        <f t="shared" si="4"/>
        <v>560732</v>
      </c>
      <c r="N128" s="71"/>
      <c r="O128" s="71">
        <f>ROUND(VLOOKUP(A128,'Contribution Allocation_Report'!$A$9:$D$310,4,FALSE)*'OPEB Amounts_Report'!$O$323,0)</f>
        <v>-85042</v>
      </c>
      <c r="P128" s="71">
        <f>INDEX('Change in Proportion Layers'!$X$8:$X$321,MATCH('OPEB Amounts_Report'!A128,'Change in Proportion Layers'!$A$8:$A$321,0))</f>
        <v>-47587</v>
      </c>
      <c r="Q128" s="71">
        <f t="shared" si="5"/>
        <v>-132629</v>
      </c>
    </row>
    <row r="129" spans="1:17" ht="12" customHeight="1">
      <c r="A129" s="254">
        <v>573</v>
      </c>
      <c r="B129" s="255" t="s">
        <v>412</v>
      </c>
      <c r="C129" s="89">
        <f>ROUND(VLOOKUP(A129,'Contribution Allocation_Report'!$A$9:$D$310,4,FALSE)*'OPEB Amounts_Report'!$C$323,0)</f>
        <v>1275669</v>
      </c>
      <c r="D129" s="89">
        <f>ROUND(VLOOKUP(A129,'Contribution Allocation_Report'!$A$9:$D$310,4,FALSE)*'OPEB Amounts_Report'!$D$323,0)</f>
        <v>18652</v>
      </c>
      <c r="E129" s="89">
        <f>ROUND(VLOOKUP(A129,'Contribution Allocation_Report'!$A$9:$D$310,4,FALSE)*'OPEB Amounts_Report'!$E$323,0)</f>
        <v>255401</v>
      </c>
      <c r="F129" s="89">
        <f>INDEX('Change in Proportion Layers'!$Z$8:$Z$321,MATCH('OPEB Amounts_Report'!A129,'Change in Proportion Layers'!$A$8:$A$321,0))</f>
        <v>1269059</v>
      </c>
      <c r="G129" s="89">
        <f t="shared" si="3"/>
        <v>1543112</v>
      </c>
      <c r="H129" s="89"/>
      <c r="I129" s="89">
        <f>ROUND(VLOOKUP(A129,'Contribution Allocation_Report'!$A$9:$D$310,4,FALSE)*'OPEB Amounts_Report'!$I$323,0)</f>
        <v>203443</v>
      </c>
      <c r="J129" s="89">
        <f>ROUND(VLOOKUP(A129,'Contribution Allocation_Report'!$A$9:$D$310,4,FALSE)*'OPEB Amounts_Report'!$J$323,0)</f>
        <v>36566</v>
      </c>
      <c r="K129" s="89">
        <f>ROUND(VLOOKUP(A129,'Contribution Allocation_Report'!$A$9:$D$310,4,FALSE)*'OPEB Amounts_Report'!$K$323,0)</f>
        <v>461199</v>
      </c>
      <c r="L129" s="89">
        <f>INDEX('Change in Proportion Layers'!$AA$8:$AA$321,MATCH('OPEB Amounts_Report'!A129,'Change in Proportion Layers'!$A$8:$A$321,0))</f>
        <v>0</v>
      </c>
      <c r="M129" s="89">
        <f t="shared" si="4"/>
        <v>701208</v>
      </c>
      <c r="N129" s="90"/>
      <c r="O129" s="90">
        <f>ROUND(VLOOKUP(A129,'Contribution Allocation_Report'!$A$9:$D$310,4,FALSE)*'OPEB Amounts_Report'!$O$323,0)</f>
        <v>-137379</v>
      </c>
      <c r="P129" s="90">
        <f>INDEX('Change in Proportion Layers'!$X$8:$X$321,MATCH('OPEB Amounts_Report'!A129,'Change in Proportion Layers'!$A$8:$A$321,0))</f>
        <v>343217</v>
      </c>
      <c r="Q129" s="90">
        <f t="shared" si="5"/>
        <v>205838</v>
      </c>
    </row>
    <row r="130" spans="1:17" ht="12" customHeight="1">
      <c r="A130" s="62">
        <v>2368</v>
      </c>
      <c r="B130" s="66" t="s">
        <v>119</v>
      </c>
      <c r="C130" s="70">
        <f>ROUND(VLOOKUP(A130,'Contribution Allocation_Report'!$A$9:$D$310,4,FALSE)*'OPEB Amounts_Report'!$C$323,0)</f>
        <v>1648136</v>
      </c>
      <c r="D130" s="70">
        <f>ROUND(VLOOKUP(A130,'Contribution Allocation_Report'!$A$9:$D$310,4,FALSE)*'OPEB Amounts_Report'!$D$323,0)</f>
        <v>24098</v>
      </c>
      <c r="E130" s="70">
        <f>ROUND(VLOOKUP(A130,'Contribution Allocation_Report'!$A$9:$D$310,4,FALSE)*'OPEB Amounts_Report'!$E$323,0)</f>
        <v>329972</v>
      </c>
      <c r="F130" s="70">
        <f>INDEX('Change in Proportion Layers'!$Z$8:$Z$321,MATCH('OPEB Amounts_Report'!A130,'Change in Proportion Layers'!$A$8:$A$321,0))</f>
        <v>625543</v>
      </c>
      <c r="G130" s="70">
        <f t="shared" si="3"/>
        <v>979613</v>
      </c>
      <c r="H130" s="70"/>
      <c r="I130" s="70">
        <f>ROUND(VLOOKUP(A130,'Contribution Allocation_Report'!$A$9:$D$310,4,FALSE)*'OPEB Amounts_Report'!$I$323,0)</f>
        <v>262843</v>
      </c>
      <c r="J130" s="70">
        <f>ROUND(VLOOKUP(A130,'Contribution Allocation_Report'!$A$9:$D$310,4,FALSE)*'OPEB Amounts_Report'!$J$323,0)</f>
        <v>47242</v>
      </c>
      <c r="K130" s="70">
        <f>ROUND(VLOOKUP(A130,'Contribution Allocation_Report'!$A$9:$D$310,4,FALSE)*'OPEB Amounts_Report'!$K$323,0)</f>
        <v>595860</v>
      </c>
      <c r="L130" s="70">
        <f>INDEX('Change in Proportion Layers'!$AA$8:$AA$321,MATCH('OPEB Amounts_Report'!A130,'Change in Proportion Layers'!$A$8:$A$321,0))</f>
        <v>128833</v>
      </c>
      <c r="M130" s="70">
        <f t="shared" si="4"/>
        <v>1034778</v>
      </c>
      <c r="N130" s="71"/>
      <c r="O130" s="71">
        <f>ROUND(VLOOKUP(A130,'Contribution Allocation_Report'!$A$9:$D$310,4,FALSE)*'OPEB Amounts_Report'!$O$323,0)</f>
        <v>-177490</v>
      </c>
      <c r="P130" s="71">
        <f>INDEX('Change in Proportion Layers'!$X$8:$X$321,MATCH('OPEB Amounts_Report'!A130,'Change in Proportion Layers'!$A$8:$A$321,0))</f>
        <v>114727</v>
      </c>
      <c r="Q130" s="71">
        <f t="shared" si="5"/>
        <v>-62763</v>
      </c>
    </row>
    <row r="131" spans="1:17" ht="12" customHeight="1">
      <c r="A131" s="254">
        <v>7420</v>
      </c>
      <c r="B131" s="255" t="s">
        <v>120</v>
      </c>
      <c r="C131" s="89">
        <f>ROUND(VLOOKUP(A131,'Contribution Allocation_Report'!$A$9:$D$310,4,FALSE)*'OPEB Amounts_Report'!$C$323,0)</f>
        <v>781129</v>
      </c>
      <c r="D131" s="89">
        <f>ROUND(VLOOKUP(A131,'Contribution Allocation_Report'!$A$9:$D$310,4,FALSE)*'OPEB Amounts_Report'!$D$323,0)</f>
        <v>11421</v>
      </c>
      <c r="E131" s="89">
        <f>ROUND(VLOOKUP(A131,'Contribution Allocation_Report'!$A$9:$D$310,4,FALSE)*'OPEB Amounts_Report'!$E$323,0)</f>
        <v>156389</v>
      </c>
      <c r="F131" s="89">
        <f>INDEX('Change in Proportion Layers'!$Z$8:$Z$321,MATCH('OPEB Amounts_Report'!A131,'Change in Proportion Layers'!$A$8:$A$321,0))</f>
        <v>173975</v>
      </c>
      <c r="G131" s="89">
        <f t="shared" si="3"/>
        <v>341785</v>
      </c>
      <c r="H131" s="89"/>
      <c r="I131" s="89">
        <f>ROUND(VLOOKUP(A131,'Contribution Allocation_Report'!$A$9:$D$310,4,FALSE)*'OPEB Amounts_Report'!$I$323,0)</f>
        <v>124574</v>
      </c>
      <c r="J131" s="89">
        <f>ROUND(VLOOKUP(A131,'Contribution Allocation_Report'!$A$9:$D$310,4,FALSE)*'OPEB Amounts_Report'!$J$323,0)</f>
        <v>22390</v>
      </c>
      <c r="K131" s="89">
        <f>ROUND(VLOOKUP(A131,'Contribution Allocation_Report'!$A$9:$D$310,4,FALSE)*'OPEB Amounts_Report'!$K$323,0)</f>
        <v>282406</v>
      </c>
      <c r="L131" s="89">
        <f>INDEX('Change in Proportion Layers'!$AA$8:$AA$321,MATCH('OPEB Amounts_Report'!A131,'Change in Proportion Layers'!$A$8:$A$321,0))</f>
        <v>12645</v>
      </c>
      <c r="M131" s="89">
        <f t="shared" si="4"/>
        <v>442015</v>
      </c>
      <c r="N131" s="90"/>
      <c r="O131" s="90">
        <f>ROUND(VLOOKUP(A131,'Contribution Allocation_Report'!$A$9:$D$310,4,FALSE)*'OPEB Amounts_Report'!$O$323,0)</f>
        <v>-84121</v>
      </c>
      <c r="P131" s="90">
        <f>INDEX('Change in Proportion Layers'!$X$8:$X$321,MATCH('OPEB Amounts_Report'!A131,'Change in Proportion Layers'!$A$8:$A$321,0))</f>
        <v>64476</v>
      </c>
      <c r="Q131" s="90">
        <f t="shared" si="5"/>
        <v>-19645</v>
      </c>
    </row>
    <row r="132" spans="1:17" ht="12" customHeight="1">
      <c r="A132" s="62">
        <v>6018</v>
      </c>
      <c r="B132" s="66" t="s">
        <v>121</v>
      </c>
      <c r="C132" s="70">
        <f>ROUND(VLOOKUP(A132,'Contribution Allocation_Report'!$A$9:$D$310,4,FALSE)*'OPEB Amounts_Report'!$C$323,0)</f>
        <v>2380568</v>
      </c>
      <c r="D132" s="70">
        <f>ROUND(VLOOKUP(A132,'Contribution Allocation_Report'!$A$9:$D$310,4,FALSE)*'OPEB Amounts_Report'!$D$323,0)</f>
        <v>34807</v>
      </c>
      <c r="E132" s="70">
        <f>ROUND(VLOOKUP(A132,'Contribution Allocation_Report'!$A$9:$D$310,4,FALSE)*'OPEB Amounts_Report'!$E$323,0)</f>
        <v>476612</v>
      </c>
      <c r="F132" s="70">
        <f>INDEX('Change in Proportion Layers'!$Z$8:$Z$321,MATCH('OPEB Amounts_Report'!A132,'Change in Proportion Layers'!$A$8:$A$321,0))</f>
        <v>205185</v>
      </c>
      <c r="G132" s="70">
        <f t="shared" si="3"/>
        <v>716604</v>
      </c>
      <c r="H132" s="70"/>
      <c r="I132" s="70">
        <f>ROUND(VLOOKUP(A132,'Contribution Allocation_Report'!$A$9:$D$310,4,FALSE)*'OPEB Amounts_Report'!$I$323,0)</f>
        <v>379651</v>
      </c>
      <c r="J132" s="70">
        <f>ROUND(VLOOKUP(A132,'Contribution Allocation_Report'!$A$9:$D$310,4,FALSE)*'OPEB Amounts_Report'!$J$323,0)</f>
        <v>68237</v>
      </c>
      <c r="K132" s="70">
        <f>ROUND(VLOOKUP(A132,'Contribution Allocation_Report'!$A$9:$D$310,4,FALSE)*'OPEB Amounts_Report'!$K$323,0)</f>
        <v>860660</v>
      </c>
      <c r="L132" s="70">
        <f>INDEX('Change in Proportion Layers'!$AA$8:$AA$321,MATCH('OPEB Amounts_Report'!A132,'Change in Proportion Layers'!$A$8:$A$321,0))</f>
        <v>7683</v>
      </c>
      <c r="M132" s="70">
        <f t="shared" si="4"/>
        <v>1316231</v>
      </c>
      <c r="N132" s="71"/>
      <c r="O132" s="71">
        <f>ROUND(VLOOKUP(A132,'Contribution Allocation_Report'!$A$9:$D$310,4,FALSE)*'OPEB Amounts_Report'!$O$323,0)</f>
        <v>-256367</v>
      </c>
      <c r="P132" s="71">
        <f>INDEX('Change in Proportion Layers'!$X$8:$X$321,MATCH('OPEB Amounts_Report'!A132,'Change in Proportion Layers'!$A$8:$A$321,0))</f>
        <v>55897</v>
      </c>
      <c r="Q132" s="71">
        <f t="shared" si="5"/>
        <v>-200470</v>
      </c>
    </row>
    <row r="133" spans="1:17" ht="12" customHeight="1">
      <c r="A133" s="254">
        <v>3321</v>
      </c>
      <c r="B133" s="255" t="s">
        <v>122</v>
      </c>
      <c r="C133" s="89">
        <f>ROUND(VLOOKUP(A133,'Contribution Allocation_Report'!$A$9:$D$310,4,FALSE)*'OPEB Amounts_Report'!$C$323,0)</f>
        <v>996647</v>
      </c>
      <c r="D133" s="89">
        <f>ROUND(VLOOKUP(A133,'Contribution Allocation_Report'!$A$9:$D$310,4,FALSE)*'OPEB Amounts_Report'!$D$323,0)</f>
        <v>14572</v>
      </c>
      <c r="E133" s="89">
        <f>ROUND(VLOOKUP(A133,'Contribution Allocation_Report'!$A$9:$D$310,4,FALSE)*'OPEB Amounts_Report'!$E$323,0)</f>
        <v>199538</v>
      </c>
      <c r="F133" s="89">
        <f>INDEX('Change in Proportion Layers'!$Z$8:$Z$321,MATCH('OPEB Amounts_Report'!A133,'Change in Proportion Layers'!$A$8:$A$321,0))</f>
        <v>147386</v>
      </c>
      <c r="G133" s="89">
        <f t="shared" si="3"/>
        <v>361496</v>
      </c>
      <c r="H133" s="89"/>
      <c r="I133" s="89">
        <f>ROUND(VLOOKUP(A133,'Contribution Allocation_Report'!$A$9:$D$310,4,FALSE)*'OPEB Amounts_Report'!$I$323,0)</f>
        <v>158944</v>
      </c>
      <c r="J133" s="89">
        <f>ROUND(VLOOKUP(A133,'Contribution Allocation_Report'!$A$9:$D$310,4,FALSE)*'OPEB Amounts_Report'!$J$323,0)</f>
        <v>28568</v>
      </c>
      <c r="K133" s="89">
        <f>ROUND(VLOOKUP(A133,'Contribution Allocation_Report'!$A$9:$D$310,4,FALSE)*'OPEB Amounts_Report'!$K$323,0)</f>
        <v>360323</v>
      </c>
      <c r="L133" s="297">
        <f>INDEX('Change in Proportion Layers'!$AA$8:$AA$321,MATCH('OPEB Amounts_Report'!A133,'Change in Proportion Layers'!$A$8:$A$321,0))</f>
        <v>52693</v>
      </c>
      <c r="M133" s="89">
        <f t="shared" si="4"/>
        <v>600528</v>
      </c>
      <c r="N133" s="90"/>
      <c r="O133" s="90">
        <f>ROUND(VLOOKUP(A133,'Contribution Allocation_Report'!$A$9:$D$310,4,FALSE)*'OPEB Amounts_Report'!$O$323,0)</f>
        <v>-107331</v>
      </c>
      <c r="P133" s="90">
        <f>INDEX('Change in Proportion Layers'!$X$8:$X$321,MATCH('OPEB Amounts_Report'!A133,'Change in Proportion Layers'!$A$8:$A$321,0))</f>
        <v>10259</v>
      </c>
      <c r="Q133" s="90">
        <f t="shared" si="5"/>
        <v>-97072</v>
      </c>
    </row>
    <row r="134" spans="1:17" ht="12" customHeight="1">
      <c r="A134" s="62">
        <v>29122</v>
      </c>
      <c r="B134" s="66" t="s">
        <v>123</v>
      </c>
      <c r="C134" s="70">
        <f>ROUND(VLOOKUP(A134,'Contribution Allocation_Report'!$A$9:$D$310,4,FALSE)*'OPEB Amounts_Report'!$C$323,0)</f>
        <v>1329959</v>
      </c>
      <c r="D134" s="70">
        <f>ROUND(VLOOKUP(A134,'Contribution Allocation_Report'!$A$9:$D$310,4,FALSE)*'OPEB Amounts_Report'!$D$323,0)</f>
        <v>19446</v>
      </c>
      <c r="E134" s="70">
        <f>ROUND(VLOOKUP(A134,'Contribution Allocation_Report'!$A$9:$D$310,4,FALSE)*'OPEB Amounts_Report'!$E$323,0)</f>
        <v>266270</v>
      </c>
      <c r="F134" s="70">
        <f>INDEX('Change in Proportion Layers'!$Z$8:$Z$321,MATCH('OPEB Amounts_Report'!A134,'Change in Proportion Layers'!$A$8:$A$321,0))</f>
        <v>195486</v>
      </c>
      <c r="G134" s="70">
        <f t="shared" si="3"/>
        <v>481202</v>
      </c>
      <c r="H134" s="70"/>
      <c r="I134" s="70">
        <f>ROUND(VLOOKUP(A134,'Contribution Allocation_Report'!$A$9:$D$310,4,FALSE)*'OPEB Amounts_Report'!$I$323,0)</f>
        <v>212101</v>
      </c>
      <c r="J134" s="70">
        <f>ROUND(VLOOKUP(A134,'Contribution Allocation_Report'!$A$9:$D$310,4,FALSE)*'OPEB Amounts_Report'!$J$323,0)</f>
        <v>38122</v>
      </c>
      <c r="K134" s="70">
        <f>ROUND(VLOOKUP(A134,'Contribution Allocation_Report'!$A$9:$D$310,4,FALSE)*'OPEB Amounts_Report'!$K$323,0)</f>
        <v>480827</v>
      </c>
      <c r="L134" s="296">
        <f>INDEX('Change in Proportion Layers'!$AA$8:$AA$321,MATCH('OPEB Amounts_Report'!A134,'Change in Proportion Layers'!$A$8:$A$321,0))</f>
        <v>420885</v>
      </c>
      <c r="M134" s="70">
        <f t="shared" si="4"/>
        <v>1151935</v>
      </c>
      <c r="N134" s="71"/>
      <c r="O134" s="71">
        <f>ROUND(VLOOKUP(A134,'Contribution Allocation_Report'!$A$9:$D$310,4,FALSE)*'OPEB Amounts_Report'!$O$323,0)</f>
        <v>-143225</v>
      </c>
      <c r="P134" s="71">
        <f>INDEX('Change in Proportion Layers'!$X$8:$X$321,MATCH('OPEB Amounts_Report'!A134,'Change in Proportion Layers'!$A$8:$A$321,0))</f>
        <v>-88977</v>
      </c>
      <c r="Q134" s="71">
        <f t="shared" si="5"/>
        <v>-232202</v>
      </c>
    </row>
    <row r="135" spans="1:17" ht="12" customHeight="1">
      <c r="A135" s="254">
        <v>29088</v>
      </c>
      <c r="B135" s="255" t="s">
        <v>124</v>
      </c>
      <c r="C135" s="89">
        <f>ROUND(VLOOKUP(A135,'Contribution Allocation_Report'!$A$9:$D$310,4,FALSE)*'OPEB Amounts_Report'!$C$323,0)</f>
        <v>1774486</v>
      </c>
      <c r="D135" s="89">
        <f>ROUND(VLOOKUP(A135,'Contribution Allocation_Report'!$A$9:$D$310,4,FALSE)*'OPEB Amounts_Report'!$D$323,0)</f>
        <v>25945</v>
      </c>
      <c r="E135" s="89">
        <f>ROUND(VLOOKUP(A135,'Contribution Allocation_Report'!$A$9:$D$310,4,FALSE)*'OPEB Amounts_Report'!$E$323,0)</f>
        <v>355268</v>
      </c>
      <c r="F135" s="89">
        <f>INDEX('Change in Proportion Layers'!$Z$8:$Z$321,MATCH('OPEB Amounts_Report'!A135,'Change in Proportion Layers'!$A$8:$A$321,0))</f>
        <v>15510</v>
      </c>
      <c r="G135" s="89">
        <f t="shared" si="3"/>
        <v>396723</v>
      </c>
      <c r="H135" s="89"/>
      <c r="I135" s="89">
        <f>ROUND(VLOOKUP(A135,'Contribution Allocation_Report'!$A$9:$D$310,4,FALSE)*'OPEB Amounts_Report'!$I$323,0)</f>
        <v>282994</v>
      </c>
      <c r="J135" s="89">
        <f>ROUND(VLOOKUP(A135,'Contribution Allocation_Report'!$A$9:$D$310,4,FALSE)*'OPEB Amounts_Report'!$J$323,0)</f>
        <v>50864</v>
      </c>
      <c r="K135" s="89">
        <f>ROUND(VLOOKUP(A135,'Contribution Allocation_Report'!$A$9:$D$310,4,FALSE)*'OPEB Amounts_Report'!$K$323,0)</f>
        <v>641539</v>
      </c>
      <c r="L135" s="89">
        <f>INDEX('Change in Proportion Layers'!$AA$8:$AA$321,MATCH('OPEB Amounts_Report'!A135,'Change in Proportion Layers'!$A$8:$A$321,0))</f>
        <v>208679</v>
      </c>
      <c r="M135" s="89">
        <f t="shared" si="4"/>
        <v>1184076</v>
      </c>
      <c r="N135" s="90"/>
      <c r="O135" s="90">
        <f>ROUND(VLOOKUP(A135,'Contribution Allocation_Report'!$A$9:$D$310,4,FALSE)*'OPEB Amounts_Report'!$O$323,0)</f>
        <v>-191097</v>
      </c>
      <c r="P135" s="90">
        <f>INDEX('Change in Proportion Layers'!$X$8:$X$321,MATCH('OPEB Amounts_Report'!A135,'Change in Proportion Layers'!$A$8:$A$321,0))</f>
        <v>-43371</v>
      </c>
      <c r="Q135" s="90">
        <f t="shared" si="5"/>
        <v>-234468</v>
      </c>
    </row>
    <row r="136" spans="1:17" ht="12" customHeight="1">
      <c r="A136" s="62">
        <v>7337</v>
      </c>
      <c r="B136" s="66" t="s">
        <v>125</v>
      </c>
      <c r="C136" s="70">
        <f>ROUND(VLOOKUP(A136,'Contribution Allocation_Report'!$A$9:$D$310,4,FALSE)*'OPEB Amounts_Report'!$C$323,0)</f>
        <v>457359</v>
      </c>
      <c r="D136" s="70">
        <f>ROUND(VLOOKUP(A136,'Contribution Allocation_Report'!$A$9:$D$310,4,FALSE)*'OPEB Amounts_Report'!$D$323,0)</f>
        <v>6687</v>
      </c>
      <c r="E136" s="70">
        <f>ROUND(VLOOKUP(A136,'Contribution Allocation_Report'!$A$9:$D$310,4,FALSE)*'OPEB Amounts_Report'!$E$323,0)</f>
        <v>91567</v>
      </c>
      <c r="F136" s="70">
        <f>INDEX('Change in Proportion Layers'!$Z$8:$Z$321,MATCH('OPEB Amounts_Report'!A136,'Change in Proportion Layers'!$A$8:$A$321,0))</f>
        <v>0</v>
      </c>
      <c r="G136" s="70">
        <f t="shared" si="3"/>
        <v>98254</v>
      </c>
      <c r="H136" s="70"/>
      <c r="I136" s="70">
        <f>ROUND(VLOOKUP(A136,'Contribution Allocation_Report'!$A$9:$D$310,4,FALSE)*'OPEB Amounts_Report'!$I$323,0)</f>
        <v>72939</v>
      </c>
      <c r="J136" s="70">
        <f>ROUND(VLOOKUP(A136,'Contribution Allocation_Report'!$A$9:$D$310,4,FALSE)*'OPEB Amounts_Report'!$J$323,0)</f>
        <v>13110</v>
      </c>
      <c r="K136" s="70">
        <f>ROUND(VLOOKUP(A136,'Contribution Allocation_Report'!$A$9:$D$310,4,FALSE)*'OPEB Amounts_Report'!$K$323,0)</f>
        <v>165351</v>
      </c>
      <c r="L136" s="70">
        <f>INDEX('Change in Proportion Layers'!$AA$8:$AA$321,MATCH('OPEB Amounts_Report'!A136,'Change in Proportion Layers'!$A$8:$A$321,0))</f>
        <v>254707</v>
      </c>
      <c r="M136" s="70">
        <f t="shared" si="4"/>
        <v>506107</v>
      </c>
      <c r="N136" s="71"/>
      <c r="O136" s="71">
        <f>ROUND(VLOOKUP(A136,'Contribution Allocation_Report'!$A$9:$D$310,4,FALSE)*'OPEB Amounts_Report'!$O$323,0)</f>
        <v>-49254</v>
      </c>
      <c r="P136" s="71">
        <f>INDEX('Change in Proportion Layers'!$X$8:$X$321,MATCH('OPEB Amounts_Report'!A136,'Change in Proportion Layers'!$A$8:$A$321,0))</f>
        <v>-70941</v>
      </c>
      <c r="Q136" s="71">
        <f t="shared" si="5"/>
        <v>-120195</v>
      </c>
    </row>
    <row r="137" spans="1:17" ht="12" customHeight="1">
      <c r="A137" s="254">
        <v>2329</v>
      </c>
      <c r="B137" s="255" t="s">
        <v>126</v>
      </c>
      <c r="C137" s="89">
        <f>ROUND(VLOOKUP(A137,'Contribution Allocation_Report'!$A$9:$D$310,4,FALSE)*'OPEB Amounts_Report'!$C$323,0)</f>
        <v>1454006</v>
      </c>
      <c r="D137" s="89">
        <f>ROUND(VLOOKUP(A137,'Contribution Allocation_Report'!$A$9:$D$310,4,FALSE)*'OPEB Amounts_Report'!$D$323,0)</f>
        <v>21259</v>
      </c>
      <c r="E137" s="89">
        <f>ROUND(VLOOKUP(A137,'Contribution Allocation_Report'!$A$9:$D$310,4,FALSE)*'OPEB Amounts_Report'!$E$323,0)</f>
        <v>291105</v>
      </c>
      <c r="F137" s="89">
        <f>INDEX('Change in Proportion Layers'!$Z$8:$Z$321,MATCH('OPEB Amounts_Report'!A137,'Change in Proportion Layers'!$A$8:$A$321,0))</f>
        <v>95659</v>
      </c>
      <c r="G137" s="89">
        <f t="shared" si="3"/>
        <v>408023</v>
      </c>
      <c r="H137" s="89"/>
      <c r="I137" s="89">
        <f>ROUND(VLOOKUP(A137,'Contribution Allocation_Report'!$A$9:$D$310,4,FALSE)*'OPEB Amounts_Report'!$I$323,0)</f>
        <v>231884</v>
      </c>
      <c r="J137" s="89">
        <f>ROUND(VLOOKUP(A137,'Contribution Allocation_Report'!$A$9:$D$310,4,FALSE)*'OPEB Amounts_Report'!$J$323,0)</f>
        <v>41678</v>
      </c>
      <c r="K137" s="89">
        <f>ROUND(VLOOKUP(A137,'Contribution Allocation_Report'!$A$9:$D$310,4,FALSE)*'OPEB Amounts_Report'!$K$323,0)</f>
        <v>525675</v>
      </c>
      <c r="L137" s="89">
        <f>INDEX('Change in Proportion Layers'!$AA$8:$AA$321,MATCH('OPEB Amounts_Report'!A137,'Change in Proportion Layers'!$A$8:$A$321,0))</f>
        <v>522548</v>
      </c>
      <c r="M137" s="89">
        <f t="shared" si="4"/>
        <v>1321785</v>
      </c>
      <c r="N137" s="90"/>
      <c r="O137" s="90">
        <f>ROUND(VLOOKUP(A137,'Contribution Allocation_Report'!$A$9:$D$310,4,FALSE)*'OPEB Amounts_Report'!$O$323,0)</f>
        <v>-156584</v>
      </c>
      <c r="P137" s="90">
        <f>INDEX('Change in Proportion Layers'!$X$8:$X$321,MATCH('OPEB Amounts_Report'!A137,'Change in Proportion Layers'!$A$8:$A$321,0))</f>
        <v>-98789</v>
      </c>
      <c r="Q137" s="90">
        <f t="shared" si="5"/>
        <v>-255373</v>
      </c>
    </row>
    <row r="138" spans="1:17" ht="12" customHeight="1">
      <c r="A138" s="62">
        <v>2343</v>
      </c>
      <c r="B138" s="66" t="s">
        <v>127</v>
      </c>
      <c r="C138" s="70">
        <f>ROUND(VLOOKUP(A138,'Contribution Allocation_Report'!$A$9:$D$310,4,FALSE)*'OPEB Amounts_Report'!$C$323,0)</f>
        <v>1536922</v>
      </c>
      <c r="D138" s="70">
        <f>ROUND(VLOOKUP(A138,'Contribution Allocation_Report'!$A$9:$D$310,4,FALSE)*'OPEB Amounts_Report'!$D$323,0)</f>
        <v>22472</v>
      </c>
      <c r="E138" s="70">
        <f>ROUND(VLOOKUP(A138,'Contribution Allocation_Report'!$A$9:$D$310,4,FALSE)*'OPEB Amounts_Report'!$E$323,0)</f>
        <v>307706</v>
      </c>
      <c r="F138" s="70">
        <f>INDEX('Change in Proportion Layers'!$Z$8:$Z$321,MATCH('OPEB Amounts_Report'!A138,'Change in Proportion Layers'!$A$8:$A$321,0))</f>
        <v>222747</v>
      </c>
      <c r="G138" s="70">
        <f t="shared" si="3"/>
        <v>552925</v>
      </c>
      <c r="H138" s="70"/>
      <c r="I138" s="70">
        <f>ROUND(VLOOKUP(A138,'Contribution Allocation_Report'!$A$9:$D$310,4,FALSE)*'OPEB Amounts_Report'!$I$323,0)</f>
        <v>245107</v>
      </c>
      <c r="J138" s="70">
        <f>ROUND(VLOOKUP(A138,'Contribution Allocation_Report'!$A$9:$D$310,4,FALSE)*'OPEB Amounts_Report'!$J$323,0)</f>
        <v>44055</v>
      </c>
      <c r="K138" s="70">
        <f>ROUND(VLOOKUP(A138,'Contribution Allocation_Report'!$A$9:$D$310,4,FALSE)*'OPEB Amounts_Report'!$K$323,0)</f>
        <v>555652</v>
      </c>
      <c r="L138" s="70">
        <f>INDEX('Change in Proportion Layers'!$AA$8:$AA$321,MATCH('OPEB Amounts_Report'!A138,'Change in Proportion Layers'!$A$8:$A$321,0))</f>
        <v>201932</v>
      </c>
      <c r="M138" s="70">
        <f t="shared" si="4"/>
        <v>1046746</v>
      </c>
      <c r="N138" s="71"/>
      <c r="O138" s="71">
        <f>ROUND(VLOOKUP(A138,'Contribution Allocation_Report'!$A$9:$D$310,4,FALSE)*'OPEB Amounts_Report'!$O$323,0)</f>
        <v>-165514</v>
      </c>
      <c r="P138" s="71">
        <f>INDEX('Change in Proportion Layers'!$X$8:$X$321,MATCH('OPEB Amounts_Report'!A138,'Change in Proportion Layers'!$A$8:$A$321,0))</f>
        <v>-24624</v>
      </c>
      <c r="Q138" s="71">
        <f t="shared" si="5"/>
        <v>-190138</v>
      </c>
    </row>
    <row r="139" spans="1:17" ht="12" customHeight="1">
      <c r="A139" s="254">
        <v>17425</v>
      </c>
      <c r="B139" s="255" t="s">
        <v>128</v>
      </c>
      <c r="C139" s="89">
        <f>ROUND(VLOOKUP(A139,'Contribution Allocation_Report'!$A$9:$D$310,4,FALSE)*'OPEB Amounts_Report'!$C$323,0)</f>
        <v>187879</v>
      </c>
      <c r="D139" s="89">
        <f>ROUND(VLOOKUP(A139,'Contribution Allocation_Report'!$A$9:$D$310,4,FALSE)*'OPEB Amounts_Report'!$D$323,0)</f>
        <v>2747</v>
      </c>
      <c r="E139" s="89">
        <f>ROUND(VLOOKUP(A139,'Contribution Allocation_Report'!$A$9:$D$310,4,FALSE)*'OPEB Amounts_Report'!$E$323,0)</f>
        <v>37615</v>
      </c>
      <c r="F139" s="89">
        <f>INDEX('Change in Proportion Layers'!$Z$8:$Z$321,MATCH('OPEB Amounts_Report'!A139,'Change in Proportion Layers'!$A$8:$A$321,0))</f>
        <v>0</v>
      </c>
      <c r="G139" s="89">
        <f t="shared" ref="G139:G201" si="6">SUM(D139:F139)</f>
        <v>40362</v>
      </c>
      <c r="H139" s="89"/>
      <c r="I139" s="89">
        <f>ROUND(VLOOKUP(A139,'Contribution Allocation_Report'!$A$9:$D$310,4,FALSE)*'OPEB Amounts_Report'!$I$323,0)</f>
        <v>29963</v>
      </c>
      <c r="J139" s="89">
        <f>ROUND(VLOOKUP(A139,'Contribution Allocation_Report'!$A$9:$D$310,4,FALSE)*'OPEB Amounts_Report'!$J$323,0)</f>
        <v>5385</v>
      </c>
      <c r="K139" s="89">
        <f>ROUND(VLOOKUP(A139,'Contribution Allocation_Report'!$A$9:$D$310,4,FALSE)*'OPEB Amounts_Report'!$K$323,0)</f>
        <v>67925</v>
      </c>
      <c r="L139" s="297">
        <f>INDEX('Change in Proportion Layers'!$AA$8:$AA$321,MATCH('OPEB Amounts_Report'!A139,'Change in Proportion Layers'!$A$8:$A$321,0))</f>
        <v>243258</v>
      </c>
      <c r="M139" s="89">
        <f t="shared" ref="M139:M201" si="7">SUM(I139:L139)</f>
        <v>346531</v>
      </c>
      <c r="N139" s="90"/>
      <c r="O139" s="90">
        <f>ROUND(VLOOKUP(A139,'Contribution Allocation_Report'!$A$9:$D$310,4,FALSE)*'OPEB Amounts_Report'!$O$323,0)</f>
        <v>-20233</v>
      </c>
      <c r="P139" s="90">
        <f>INDEX('Change in Proportion Layers'!$X$8:$X$321,MATCH('OPEB Amounts_Report'!A139,'Change in Proportion Layers'!$A$8:$A$321,0))</f>
        <v>-63426</v>
      </c>
      <c r="Q139" s="90">
        <f t="shared" ref="Q139:Q202" si="8">+O139+P139</f>
        <v>-83659</v>
      </c>
    </row>
    <row r="140" spans="1:17" ht="12" customHeight="1">
      <c r="A140" s="62">
        <v>4010</v>
      </c>
      <c r="B140" s="66" t="s">
        <v>129</v>
      </c>
      <c r="C140" s="70">
        <f>ROUND(VLOOKUP(A140,'Contribution Allocation_Report'!$A$9:$D$310,4,FALSE)*'OPEB Amounts_Report'!$C$323,0)</f>
        <v>824891</v>
      </c>
      <c r="D140" s="70">
        <f>ROUND(VLOOKUP(A140,'Contribution Allocation_Report'!$A$9:$D$310,4,FALSE)*'OPEB Amounts_Report'!$D$323,0)</f>
        <v>12061</v>
      </c>
      <c r="E140" s="70">
        <f>ROUND(VLOOKUP(A140,'Contribution Allocation_Report'!$A$9:$D$310,4,FALSE)*'OPEB Amounts_Report'!$E$323,0)</f>
        <v>165151</v>
      </c>
      <c r="F140" s="70">
        <f>INDEX('Change in Proportion Layers'!$Z$8:$Z$321,MATCH('OPEB Amounts_Report'!A140,'Change in Proportion Layers'!$A$8:$A$321,0))</f>
        <v>95512</v>
      </c>
      <c r="G140" s="70">
        <f t="shared" si="6"/>
        <v>272724</v>
      </c>
      <c r="H140" s="70"/>
      <c r="I140" s="70">
        <f>ROUND(VLOOKUP(A140,'Contribution Allocation_Report'!$A$9:$D$310,4,FALSE)*'OPEB Amounts_Report'!$I$323,0)</f>
        <v>131553</v>
      </c>
      <c r="J140" s="70">
        <f>ROUND(VLOOKUP(A140,'Contribution Allocation_Report'!$A$9:$D$310,4,FALSE)*'OPEB Amounts_Report'!$J$323,0)</f>
        <v>23645</v>
      </c>
      <c r="K140" s="70">
        <f>ROUND(VLOOKUP(A140,'Contribution Allocation_Report'!$A$9:$D$310,4,FALSE)*'OPEB Amounts_Report'!$K$323,0)</f>
        <v>298227</v>
      </c>
      <c r="L140" s="296">
        <f>INDEX('Change in Proportion Layers'!$AA$8:$AA$321,MATCH('OPEB Amounts_Report'!A140,'Change in Proportion Layers'!$A$8:$A$321,0))</f>
        <v>9870</v>
      </c>
      <c r="M140" s="70">
        <f t="shared" si="7"/>
        <v>463295</v>
      </c>
      <c r="N140" s="71"/>
      <c r="O140" s="71">
        <f>ROUND(VLOOKUP(A140,'Contribution Allocation_Report'!$A$9:$D$310,4,FALSE)*'OPEB Amounts_Report'!$O$323,0)</f>
        <v>-88834</v>
      </c>
      <c r="P140" s="71">
        <f>INDEX('Change in Proportion Layers'!$X$8:$X$321,MATCH('OPEB Amounts_Report'!A140,'Change in Proportion Layers'!$A$8:$A$321,0))</f>
        <v>20615</v>
      </c>
      <c r="Q140" s="71">
        <f t="shared" si="8"/>
        <v>-68219</v>
      </c>
    </row>
    <row r="141" spans="1:17" ht="12" customHeight="1">
      <c r="A141" s="254">
        <v>7023</v>
      </c>
      <c r="B141" s="255" t="s">
        <v>130</v>
      </c>
      <c r="C141" s="89">
        <f>ROUND(VLOOKUP(A141,'Contribution Allocation_Report'!$A$9:$D$310,4,FALSE)*'OPEB Amounts_Report'!$C$323,0)</f>
        <v>104160300</v>
      </c>
      <c r="D141" s="89">
        <f>ROUND(VLOOKUP(A141,'Contribution Allocation_Report'!$A$9:$D$310,4,FALSE)*'OPEB Amounts_Report'!$D$323,0)</f>
        <v>1522961</v>
      </c>
      <c r="E141" s="89">
        <f>ROUND(VLOOKUP(A141,'Contribution Allocation_Report'!$A$9:$D$310,4,FALSE)*'OPEB Amounts_Report'!$E$323,0)</f>
        <v>20853856</v>
      </c>
      <c r="F141" s="89">
        <f>INDEX('Change in Proportion Layers'!$Z$8:$Z$321,MATCH('OPEB Amounts_Report'!A141,'Change in Proportion Layers'!$A$8:$A$321,0))</f>
        <v>4031751</v>
      </c>
      <c r="G141" s="89">
        <f t="shared" si="6"/>
        <v>26408568</v>
      </c>
      <c r="H141" s="89"/>
      <c r="I141" s="89">
        <f>ROUND(VLOOKUP(A141,'Contribution Allocation_Report'!$A$9:$D$310,4,FALSE)*'OPEB Amounts_Report'!$I$323,0)</f>
        <v>16611402</v>
      </c>
      <c r="J141" s="89">
        <f>ROUND(VLOOKUP(A141,'Contribution Allocation_Report'!$A$9:$D$310,4,FALSE)*'OPEB Amounts_Report'!$J$323,0)</f>
        <v>2985667</v>
      </c>
      <c r="K141" s="89">
        <f>ROUND(VLOOKUP(A141,'Contribution Allocation_Report'!$A$9:$D$310,4,FALSE)*'OPEB Amounts_Report'!$K$323,0)</f>
        <v>37657641</v>
      </c>
      <c r="L141" s="89">
        <f>INDEX('Change in Proportion Layers'!$AA$8:$AA$321,MATCH('OPEB Amounts_Report'!A141,'Change in Proportion Layers'!$A$8:$A$321,0))</f>
        <v>0</v>
      </c>
      <c r="M141" s="89">
        <f t="shared" si="7"/>
        <v>57254710</v>
      </c>
      <c r="N141" s="90"/>
      <c r="O141" s="90">
        <f>ROUND(VLOOKUP(A141,'Contribution Allocation_Report'!$A$9:$D$310,4,FALSE)*'OPEB Amounts_Report'!$O$323,0)</f>
        <v>-11217193</v>
      </c>
      <c r="P141" s="90">
        <f>INDEX('Change in Proportion Layers'!$X$8:$X$321,MATCH('OPEB Amounts_Report'!A141,'Change in Proportion Layers'!$A$8:$A$321,0))</f>
        <v>1165813</v>
      </c>
      <c r="Q141" s="90">
        <f t="shared" si="8"/>
        <v>-10051380</v>
      </c>
    </row>
    <row r="142" spans="1:17" ht="12" customHeight="1">
      <c r="A142" s="62">
        <v>7338</v>
      </c>
      <c r="B142" s="66" t="s">
        <v>131</v>
      </c>
      <c r="C142" s="70">
        <f>ROUND(VLOOKUP(A142,'Contribution Allocation_Report'!$A$9:$D$310,4,FALSE)*'OPEB Amounts_Report'!$C$323,0)</f>
        <v>954201</v>
      </c>
      <c r="D142" s="70">
        <f>ROUND(VLOOKUP(A142,'Contribution Allocation_Report'!$A$9:$D$310,4,FALSE)*'OPEB Amounts_Report'!$D$323,0)</f>
        <v>13952</v>
      </c>
      <c r="E142" s="70">
        <f>ROUND(VLOOKUP(A142,'Contribution Allocation_Report'!$A$9:$D$310,4,FALSE)*'OPEB Amounts_Report'!$E$323,0)</f>
        <v>191040</v>
      </c>
      <c r="F142" s="70">
        <f>INDEX('Change in Proportion Layers'!$Z$8:$Z$321,MATCH('OPEB Amounts_Report'!A142,'Change in Proportion Layers'!$A$8:$A$321,0))</f>
        <v>191123</v>
      </c>
      <c r="G142" s="70">
        <f t="shared" si="6"/>
        <v>396115</v>
      </c>
      <c r="H142" s="70"/>
      <c r="I142" s="70">
        <f>ROUND(VLOOKUP(A142,'Contribution Allocation_Report'!$A$9:$D$310,4,FALSE)*'OPEB Amounts_Report'!$I$323,0)</f>
        <v>152175</v>
      </c>
      <c r="J142" s="70">
        <f>ROUND(VLOOKUP(A142,'Contribution Allocation_Report'!$A$9:$D$310,4,FALSE)*'OPEB Amounts_Report'!$J$323,0)</f>
        <v>27351</v>
      </c>
      <c r="K142" s="70">
        <f>ROUND(VLOOKUP(A142,'Contribution Allocation_Report'!$A$9:$D$310,4,FALSE)*'OPEB Amounts_Report'!$K$323,0)</f>
        <v>344978</v>
      </c>
      <c r="L142" s="70">
        <f>INDEX('Change in Proportion Layers'!$AA$8:$AA$321,MATCH('OPEB Amounts_Report'!A142,'Change in Proportion Layers'!$A$8:$A$321,0))</f>
        <v>0</v>
      </c>
      <c r="M142" s="70">
        <f t="shared" si="7"/>
        <v>524504</v>
      </c>
      <c r="N142" s="71"/>
      <c r="O142" s="71">
        <f>ROUND(VLOOKUP(A142,'Contribution Allocation_Report'!$A$9:$D$310,4,FALSE)*'OPEB Amounts_Report'!$O$323,0)</f>
        <v>-102760</v>
      </c>
      <c r="P142" s="71">
        <f>INDEX('Change in Proportion Layers'!$X$8:$X$321,MATCH('OPEB Amounts_Report'!A142,'Change in Proportion Layers'!$A$8:$A$321,0))</f>
        <v>75429</v>
      </c>
      <c r="Q142" s="71">
        <f t="shared" si="8"/>
        <v>-27331</v>
      </c>
    </row>
    <row r="143" spans="1:17" ht="12" customHeight="1">
      <c r="A143" s="254">
        <v>12037</v>
      </c>
      <c r="B143" s="255" t="s">
        <v>132</v>
      </c>
      <c r="C143" s="89">
        <f>ROUND(VLOOKUP(A143,'Contribution Allocation_Report'!$A$9:$D$310,4,FALSE)*'OPEB Amounts_Report'!$C$323,0)</f>
        <v>6645519</v>
      </c>
      <c r="D143" s="89">
        <f>ROUND(VLOOKUP(A143,'Contribution Allocation_Report'!$A$9:$D$310,4,FALSE)*'OPEB Amounts_Report'!$D$323,0)</f>
        <v>97166</v>
      </c>
      <c r="E143" s="89">
        <f>ROUND(VLOOKUP(A143,'Contribution Allocation_Report'!$A$9:$D$310,4,FALSE)*'OPEB Amounts_Report'!$E$323,0)</f>
        <v>1330495</v>
      </c>
      <c r="F143" s="89">
        <f>INDEX('Change in Proportion Layers'!$Z$8:$Z$321,MATCH('OPEB Amounts_Report'!A143,'Change in Proportion Layers'!$A$8:$A$321,0))</f>
        <v>722283</v>
      </c>
      <c r="G143" s="89">
        <f t="shared" si="6"/>
        <v>2149944</v>
      </c>
      <c r="H143" s="89"/>
      <c r="I143" s="89">
        <f>ROUND(VLOOKUP(A143,'Contribution Allocation_Report'!$A$9:$D$310,4,FALSE)*'OPEB Amounts_Report'!$I$323,0)</f>
        <v>1059822</v>
      </c>
      <c r="J143" s="89">
        <f>ROUND(VLOOKUP(A143,'Contribution Allocation_Report'!$A$9:$D$310,4,FALSE)*'OPEB Amounts_Report'!$J$323,0)</f>
        <v>190488</v>
      </c>
      <c r="K143" s="89">
        <f>ROUND(VLOOKUP(A143,'Contribution Allocation_Report'!$A$9:$D$310,4,FALSE)*'OPEB Amounts_Report'!$K$323,0)</f>
        <v>2402591</v>
      </c>
      <c r="L143" s="297">
        <f>INDEX('Change in Proportion Layers'!$AA$8:$AA$321,MATCH('OPEB Amounts_Report'!A143,'Change in Proportion Layers'!$A$8:$A$321,0))</f>
        <v>636740</v>
      </c>
      <c r="M143" s="89">
        <f t="shared" si="7"/>
        <v>4289641</v>
      </c>
      <c r="N143" s="90"/>
      <c r="O143" s="90">
        <f>ROUND(VLOOKUP(A143,'Contribution Allocation_Report'!$A$9:$D$310,4,FALSE)*'OPEB Amounts_Report'!$O$323,0)</f>
        <v>-715667</v>
      </c>
      <c r="P143" s="90">
        <f>INDEX('Change in Proportion Layers'!$X$8:$X$321,MATCH('OPEB Amounts_Report'!A143,'Change in Proportion Layers'!$A$8:$A$321,0))</f>
        <v>165619</v>
      </c>
      <c r="Q143" s="90">
        <f t="shared" si="8"/>
        <v>-550048</v>
      </c>
    </row>
    <row r="144" spans="1:17" ht="12" customHeight="1">
      <c r="A144" s="62">
        <v>3150</v>
      </c>
      <c r="B144" s="66" t="s">
        <v>133</v>
      </c>
      <c r="C144" s="70">
        <f>ROUND(VLOOKUP(A144,'Contribution Allocation_Report'!$A$9:$D$310,4,FALSE)*'OPEB Amounts_Report'!$C$323,0)</f>
        <v>12279585</v>
      </c>
      <c r="D144" s="70">
        <f>ROUND(VLOOKUP(A144,'Contribution Allocation_Report'!$A$9:$D$310,4,FALSE)*'OPEB Amounts_Report'!$D$323,0)</f>
        <v>179544</v>
      </c>
      <c r="E144" s="70">
        <f>ROUND(VLOOKUP(A144,'Contribution Allocation_Report'!$A$9:$D$310,4,FALSE)*'OPEB Amounts_Report'!$E$323,0)</f>
        <v>2458487</v>
      </c>
      <c r="F144" s="70">
        <f>INDEX('Change in Proportion Layers'!$Z$8:$Z$321,MATCH('OPEB Amounts_Report'!A144,'Change in Proportion Layers'!$A$8:$A$321,0))</f>
        <v>1305560</v>
      </c>
      <c r="G144" s="70">
        <f t="shared" si="6"/>
        <v>3943591</v>
      </c>
      <c r="H144" s="70"/>
      <c r="I144" s="70">
        <f>ROUND(VLOOKUP(A144,'Contribution Allocation_Report'!$A$9:$D$310,4,FALSE)*'OPEB Amounts_Report'!$I$323,0)</f>
        <v>1958338</v>
      </c>
      <c r="J144" s="70">
        <f>ROUND(VLOOKUP(A144,'Contribution Allocation_Report'!$A$9:$D$310,4,FALSE)*'OPEB Amounts_Report'!$J$323,0)</f>
        <v>351984</v>
      </c>
      <c r="K144" s="70">
        <f>ROUND(VLOOKUP(A144,'Contribution Allocation_Report'!$A$9:$D$310,4,FALSE)*'OPEB Amounts_Report'!$K$323,0)</f>
        <v>4439505</v>
      </c>
      <c r="L144" s="296">
        <f>INDEX('Change in Proportion Layers'!$AA$8:$AA$321,MATCH('OPEB Amounts_Report'!A144,'Change in Proportion Layers'!$A$8:$A$321,0))</f>
        <v>1133902</v>
      </c>
      <c r="M144" s="70">
        <f t="shared" si="7"/>
        <v>7883729</v>
      </c>
      <c r="N144" s="71"/>
      <c r="O144" s="71">
        <f>ROUND(VLOOKUP(A144,'Contribution Allocation_Report'!$A$9:$D$310,4,FALSE)*'OPEB Amounts_Report'!$O$323,0)</f>
        <v>-1322409</v>
      </c>
      <c r="P144" s="71">
        <f>INDEX('Change in Proportion Layers'!$X$8:$X$321,MATCH('OPEB Amounts_Report'!A144,'Change in Proportion Layers'!$A$8:$A$321,0))</f>
        <v>239549</v>
      </c>
      <c r="Q144" s="71">
        <f t="shared" si="8"/>
        <v>-1082860</v>
      </c>
    </row>
    <row r="145" spans="1:17" ht="12" customHeight="1">
      <c r="A145" s="254">
        <v>3160</v>
      </c>
      <c r="B145" s="255" t="s">
        <v>134</v>
      </c>
      <c r="C145" s="89">
        <f>ROUND(VLOOKUP(A145,'Contribution Allocation_Report'!$A$9:$D$310,4,FALSE)*'OPEB Amounts_Report'!$C$323,0)</f>
        <v>3113987</v>
      </c>
      <c r="D145" s="89">
        <f>ROUND(VLOOKUP(A145,'Contribution Allocation_Report'!$A$9:$D$310,4,FALSE)*'OPEB Amounts_Report'!$D$323,0)</f>
        <v>45531</v>
      </c>
      <c r="E145" s="89">
        <f>ROUND(VLOOKUP(A145,'Contribution Allocation_Report'!$A$9:$D$310,4,FALSE)*'OPEB Amounts_Report'!$E$323,0)</f>
        <v>623449</v>
      </c>
      <c r="F145" s="89">
        <f>INDEX('Change in Proportion Layers'!$Z$8:$Z$321,MATCH('OPEB Amounts_Report'!A145,'Change in Proportion Layers'!$A$8:$A$321,0))</f>
        <v>90018</v>
      </c>
      <c r="G145" s="89">
        <f t="shared" si="6"/>
        <v>758998</v>
      </c>
      <c r="H145" s="89"/>
      <c r="I145" s="89">
        <f>ROUND(VLOOKUP(A145,'Contribution Allocation_Report'!$A$9:$D$310,4,FALSE)*'OPEB Amounts_Report'!$I$323,0)</f>
        <v>496616</v>
      </c>
      <c r="J145" s="89">
        <f>ROUND(VLOOKUP(A145,'Contribution Allocation_Report'!$A$9:$D$310,4,FALSE)*'OPEB Amounts_Report'!$J$323,0)</f>
        <v>89260</v>
      </c>
      <c r="K145" s="89">
        <f>ROUND(VLOOKUP(A145,'Contribution Allocation_Report'!$A$9:$D$310,4,FALSE)*'OPEB Amounts_Report'!$K$323,0)</f>
        <v>1125817</v>
      </c>
      <c r="L145" s="89">
        <f>INDEX('Change in Proportion Layers'!$AA$8:$AA$321,MATCH('OPEB Amounts_Report'!A145,'Change in Proportion Layers'!$A$8:$A$321,0))</f>
        <v>332084</v>
      </c>
      <c r="M145" s="89">
        <f t="shared" si="7"/>
        <v>2043777</v>
      </c>
      <c r="N145" s="90"/>
      <c r="O145" s="90">
        <f>ROUND(VLOOKUP(A145,'Contribution Allocation_Report'!$A$9:$D$310,4,FALSE)*'OPEB Amounts_Report'!$O$323,0)</f>
        <v>-335350</v>
      </c>
      <c r="P145" s="90">
        <f>INDEX('Change in Proportion Layers'!$X$8:$X$321,MATCH('OPEB Amounts_Report'!A145,'Change in Proportion Layers'!$A$8:$A$321,0))</f>
        <v>-47253</v>
      </c>
      <c r="Q145" s="90">
        <f t="shared" si="8"/>
        <v>-382603</v>
      </c>
    </row>
    <row r="146" spans="1:17" ht="12" customHeight="1">
      <c r="A146" s="62">
        <v>10120</v>
      </c>
      <c r="B146" s="66" t="s">
        <v>136</v>
      </c>
      <c r="C146" s="70">
        <f>ROUND(VLOOKUP(A146,'Contribution Allocation_Report'!$A$9:$D$310,4,FALSE)*'OPEB Amounts_Report'!$C$323,0)</f>
        <v>1539555</v>
      </c>
      <c r="D146" s="70">
        <f>ROUND(VLOOKUP(A146,'Contribution Allocation_Report'!$A$9:$D$310,4,FALSE)*'OPEB Amounts_Report'!$D$323,0)</f>
        <v>22510</v>
      </c>
      <c r="E146" s="70">
        <f>ROUND(VLOOKUP(A146,'Contribution Allocation_Report'!$A$9:$D$310,4,FALSE)*'OPEB Amounts_Report'!$E$323,0)</f>
        <v>308233</v>
      </c>
      <c r="F146" s="70">
        <f>INDEX('Change in Proportion Layers'!$Z$8:$Z$321,MATCH('OPEB Amounts_Report'!A146,'Change in Proportion Layers'!$A$8:$A$321,0))</f>
        <v>27315</v>
      </c>
      <c r="G146" s="70">
        <f t="shared" si="6"/>
        <v>358058</v>
      </c>
      <c r="H146" s="70"/>
      <c r="I146" s="70">
        <f>ROUND(VLOOKUP(A146,'Contribution Allocation_Report'!$A$9:$D$310,4,FALSE)*'OPEB Amounts_Report'!$I$323,0)</f>
        <v>245527</v>
      </c>
      <c r="J146" s="70">
        <f>ROUND(VLOOKUP(A146,'Contribution Allocation_Report'!$A$9:$D$310,4,FALSE)*'OPEB Amounts_Report'!$J$323,0)</f>
        <v>44130</v>
      </c>
      <c r="K146" s="70">
        <f>ROUND(VLOOKUP(A146,'Contribution Allocation_Report'!$A$9:$D$310,4,FALSE)*'OPEB Amounts_Report'!$K$323,0)</f>
        <v>556604</v>
      </c>
      <c r="L146" s="70">
        <f>INDEX('Change in Proportion Layers'!$AA$8:$AA$321,MATCH('OPEB Amounts_Report'!A146,'Change in Proportion Layers'!$A$8:$A$321,0))</f>
        <v>89849</v>
      </c>
      <c r="M146" s="70">
        <f t="shared" si="7"/>
        <v>936110</v>
      </c>
      <c r="N146" s="71"/>
      <c r="O146" s="71">
        <f>ROUND(VLOOKUP(A146,'Contribution Allocation_Report'!$A$9:$D$310,4,FALSE)*'OPEB Amounts_Report'!$O$323,0)</f>
        <v>-165797</v>
      </c>
      <c r="P146" s="71">
        <f>INDEX('Change in Proportion Layers'!$X$8:$X$321,MATCH('OPEB Amounts_Report'!A146,'Change in Proportion Layers'!$A$8:$A$321,0))</f>
        <v>-13802</v>
      </c>
      <c r="Q146" s="71">
        <f t="shared" si="8"/>
        <v>-179599</v>
      </c>
    </row>
    <row r="147" spans="1:17" ht="12" customHeight="1">
      <c r="A147" s="254">
        <v>23070</v>
      </c>
      <c r="B147" s="255" t="s">
        <v>137</v>
      </c>
      <c r="C147" s="89">
        <f>ROUND(VLOOKUP(A147,'Contribution Allocation_Report'!$A$9:$D$310,4,FALSE)*'OPEB Amounts_Report'!$C$323,0)</f>
        <v>2581937</v>
      </c>
      <c r="D147" s="89">
        <f>ROUND(VLOOKUP(A147,'Contribution Allocation_Report'!$A$9:$D$310,4,FALSE)*'OPEB Amounts_Report'!$D$323,0)</f>
        <v>37751</v>
      </c>
      <c r="E147" s="89">
        <f>ROUND(VLOOKUP(A147,'Contribution Allocation_Report'!$A$9:$D$310,4,FALSE)*'OPEB Amounts_Report'!$E$323,0)</f>
        <v>516928</v>
      </c>
      <c r="F147" s="89">
        <f>INDEX('Change in Proportion Layers'!$Z$8:$Z$321,MATCH('OPEB Amounts_Report'!A147,'Change in Proportion Layers'!$A$8:$A$321,0))</f>
        <v>190840</v>
      </c>
      <c r="G147" s="89">
        <f t="shared" si="6"/>
        <v>745519</v>
      </c>
      <c r="H147" s="89"/>
      <c r="I147" s="89">
        <f>ROUND(VLOOKUP(A147,'Contribution Allocation_Report'!$A$9:$D$310,4,FALSE)*'OPEB Amounts_Report'!$I$323,0)</f>
        <v>411765</v>
      </c>
      <c r="J147" s="89">
        <f>ROUND(VLOOKUP(A147,'Contribution Allocation_Report'!$A$9:$D$310,4,FALSE)*'OPEB Amounts_Report'!$J$323,0)</f>
        <v>74009</v>
      </c>
      <c r="K147" s="89">
        <f>ROUND(VLOOKUP(A147,'Contribution Allocation_Report'!$A$9:$D$310,4,FALSE)*'OPEB Amounts_Report'!$K$323,0)</f>
        <v>933462</v>
      </c>
      <c r="L147" s="89">
        <f>INDEX('Change in Proportion Layers'!$AA$8:$AA$321,MATCH('OPEB Amounts_Report'!A147,'Change in Proportion Layers'!$A$8:$A$321,0))</f>
        <v>15729</v>
      </c>
      <c r="M147" s="89">
        <f t="shared" si="7"/>
        <v>1434965</v>
      </c>
      <c r="N147" s="90"/>
      <c r="O147" s="90">
        <f>ROUND(VLOOKUP(A147,'Contribution Allocation_Report'!$A$9:$D$310,4,FALSE)*'OPEB Amounts_Report'!$O$323,0)</f>
        <v>-278053</v>
      </c>
      <c r="P147" s="90">
        <f>INDEX('Change in Proportion Layers'!$X$8:$X$321,MATCH('OPEB Amounts_Report'!A147,'Change in Proportion Layers'!$A$8:$A$321,0))</f>
        <v>62276</v>
      </c>
      <c r="Q147" s="90">
        <f t="shared" si="8"/>
        <v>-215777</v>
      </c>
    </row>
    <row r="148" spans="1:17" ht="12" customHeight="1">
      <c r="A148" s="62">
        <v>3170</v>
      </c>
      <c r="B148" s="66" t="s">
        <v>138</v>
      </c>
      <c r="C148" s="70">
        <f>ROUND(VLOOKUP(A148,'Contribution Allocation_Report'!$A$9:$D$310,4,FALSE)*'OPEB Amounts_Report'!$C$323,0)</f>
        <v>31079328</v>
      </c>
      <c r="D148" s="70">
        <f>ROUND(VLOOKUP(A148,'Contribution Allocation_Report'!$A$9:$D$310,4,FALSE)*'OPEB Amounts_Report'!$D$323,0)</f>
        <v>454421</v>
      </c>
      <c r="E148" s="70">
        <f>ROUND(VLOOKUP(A148,'Contribution Allocation_Report'!$A$9:$D$310,4,FALSE)*'OPEB Amounts_Report'!$E$323,0)</f>
        <v>6222369</v>
      </c>
      <c r="F148" s="70">
        <f>INDEX('Change in Proportion Layers'!$Z$8:$Z$321,MATCH('OPEB Amounts_Report'!A148,'Change in Proportion Layers'!$A$8:$A$321,0))</f>
        <v>2013751</v>
      </c>
      <c r="G148" s="70">
        <f t="shared" si="6"/>
        <v>8690541</v>
      </c>
      <c r="H148" s="70"/>
      <c r="I148" s="70">
        <f>ROUND(VLOOKUP(A148,'Contribution Allocation_Report'!$A$9:$D$310,4,FALSE)*'OPEB Amounts_Report'!$I$323,0)</f>
        <v>4956506</v>
      </c>
      <c r="J148" s="70">
        <f>ROUND(VLOOKUP(A148,'Contribution Allocation_Report'!$A$9:$D$310,4,FALSE)*'OPEB Amounts_Report'!$J$323,0)</f>
        <v>890863</v>
      </c>
      <c r="K148" s="70">
        <f>ROUND(VLOOKUP(A148,'Contribution Allocation_Report'!$A$9:$D$310,4,FALSE)*'OPEB Amounts_Report'!$K$323,0)</f>
        <v>11236279</v>
      </c>
      <c r="L148" s="70">
        <f>INDEX('Change in Proportion Layers'!$AA$8:$AA$321,MATCH('OPEB Amounts_Report'!A148,'Change in Proportion Layers'!$A$8:$A$321,0))</f>
        <v>3610330</v>
      </c>
      <c r="M148" s="70">
        <f t="shared" si="7"/>
        <v>20693978</v>
      </c>
      <c r="N148" s="71"/>
      <c r="O148" s="71">
        <f>ROUND(VLOOKUP(A148,'Contribution Allocation_Report'!$A$9:$D$310,4,FALSE)*'OPEB Amounts_Report'!$O$323,0)</f>
        <v>-3346984</v>
      </c>
      <c r="P148" s="71">
        <f>INDEX('Change in Proportion Layers'!$X$8:$X$321,MATCH('OPEB Amounts_Report'!A148,'Change in Proportion Layers'!$A$8:$A$321,0))</f>
        <v>-510385</v>
      </c>
      <c r="Q148" s="71">
        <f t="shared" si="8"/>
        <v>-3857369</v>
      </c>
    </row>
    <row r="149" spans="1:17" ht="12" customHeight="1">
      <c r="A149" s="254">
        <v>32093</v>
      </c>
      <c r="B149" s="255" t="s">
        <v>139</v>
      </c>
      <c r="C149" s="89">
        <f>ROUND(VLOOKUP(A149,'Contribution Allocation_Report'!$A$9:$D$310,4,FALSE)*'OPEB Amounts_Report'!$C$323,0)</f>
        <v>19968804</v>
      </c>
      <c r="D149" s="89">
        <f>ROUND(VLOOKUP(A149,'Contribution Allocation_Report'!$A$9:$D$310,4,FALSE)*'OPEB Amounts_Report'!$D$323,0)</f>
        <v>291970</v>
      </c>
      <c r="E149" s="89">
        <f>ROUND(VLOOKUP(A149,'Contribution Allocation_Report'!$A$9:$D$310,4,FALSE)*'OPEB Amounts_Report'!$E$323,0)</f>
        <v>3997939</v>
      </c>
      <c r="F149" s="89">
        <f>INDEX('Change in Proportion Layers'!$Z$8:$Z$321,MATCH('OPEB Amounts_Report'!A149,'Change in Proportion Layers'!$A$8:$A$321,0))</f>
        <v>1365113</v>
      </c>
      <c r="G149" s="89">
        <f t="shared" si="6"/>
        <v>5655022</v>
      </c>
      <c r="H149" s="89"/>
      <c r="I149" s="89">
        <f>ROUND(VLOOKUP(A149,'Contribution Allocation_Report'!$A$9:$D$310,4,FALSE)*'OPEB Amounts_Report'!$I$323,0)</f>
        <v>3184609</v>
      </c>
      <c r="J149" s="89">
        <f>ROUND(VLOOKUP(A149,'Contribution Allocation_Report'!$A$9:$D$310,4,FALSE)*'OPEB Amounts_Report'!$J$323,0)</f>
        <v>572389</v>
      </c>
      <c r="K149" s="89">
        <f>ROUND(VLOOKUP(A149,'Contribution Allocation_Report'!$A$9:$D$310,4,FALSE)*'OPEB Amounts_Report'!$K$323,0)</f>
        <v>7219431</v>
      </c>
      <c r="L149" s="297">
        <f>INDEX('Change in Proportion Layers'!$AA$8:$AA$321,MATCH('OPEB Amounts_Report'!A149,'Change in Proportion Layers'!$A$8:$A$321,0))</f>
        <v>0</v>
      </c>
      <c r="M149" s="89">
        <f t="shared" si="7"/>
        <v>10976429</v>
      </c>
      <c r="N149" s="90"/>
      <c r="O149" s="90">
        <f>ROUND(VLOOKUP(A149,'Contribution Allocation_Report'!$A$9:$D$310,4,FALSE)*'OPEB Amounts_Report'!$O$323,0)</f>
        <v>-2150473</v>
      </c>
      <c r="P149" s="90">
        <f>INDEX('Change in Proportion Layers'!$X$8:$X$321,MATCH('OPEB Amounts_Report'!A149,'Change in Proportion Layers'!$A$8:$A$321,0))</f>
        <v>448016</v>
      </c>
      <c r="Q149" s="90">
        <f t="shared" si="8"/>
        <v>-1702457</v>
      </c>
    </row>
    <row r="150" spans="1:17" ht="12" customHeight="1">
      <c r="A150" s="62">
        <v>14045</v>
      </c>
      <c r="B150" s="66" t="s">
        <v>140</v>
      </c>
      <c r="C150" s="70">
        <f>ROUND(VLOOKUP(A150,'Contribution Allocation_Report'!$A$9:$D$310,4,FALSE)*'OPEB Amounts_Report'!$C$323,0)</f>
        <v>34482537</v>
      </c>
      <c r="D150" s="70">
        <f>ROUND(VLOOKUP(A150,'Contribution Allocation_Report'!$A$9:$D$310,4,FALSE)*'OPEB Amounts_Report'!$D$323,0)</f>
        <v>504180</v>
      </c>
      <c r="E150" s="70">
        <f>ROUND(VLOOKUP(A150,'Contribution Allocation_Report'!$A$9:$D$310,4,FALSE)*'OPEB Amounts_Report'!$E$323,0)</f>
        <v>6903723</v>
      </c>
      <c r="F150" s="70">
        <f>INDEX('Change in Proportion Layers'!$Z$8:$Z$321,MATCH('OPEB Amounts_Report'!A150,'Change in Proportion Layers'!$A$8:$A$321,0))</f>
        <v>2154486</v>
      </c>
      <c r="G150" s="70">
        <f t="shared" si="6"/>
        <v>9562389</v>
      </c>
      <c r="H150" s="70"/>
      <c r="I150" s="70">
        <f>ROUND(VLOOKUP(A150,'Contribution Allocation_Report'!$A$9:$D$310,4,FALSE)*'OPEB Amounts_Report'!$I$323,0)</f>
        <v>5499247</v>
      </c>
      <c r="J150" s="70">
        <f>ROUND(VLOOKUP(A150,'Contribution Allocation_Report'!$A$9:$D$310,4,FALSE)*'OPEB Amounts_Report'!$J$323,0)</f>
        <v>988413</v>
      </c>
      <c r="K150" s="70">
        <f>ROUND(VLOOKUP(A150,'Contribution Allocation_Report'!$A$9:$D$310,4,FALSE)*'OPEB Amounts_Report'!$K$323,0)</f>
        <v>12466659</v>
      </c>
      <c r="L150" s="296">
        <f>INDEX('Change in Proportion Layers'!$AA$8:$AA$321,MATCH('OPEB Amounts_Report'!A150,'Change in Proportion Layers'!$A$8:$A$321,0))</f>
        <v>0</v>
      </c>
      <c r="M150" s="70">
        <f t="shared" si="7"/>
        <v>18954319</v>
      </c>
      <c r="N150" s="71"/>
      <c r="O150" s="71">
        <f>ROUND(VLOOKUP(A150,'Contribution Allocation_Report'!$A$9:$D$310,4,FALSE)*'OPEB Amounts_Report'!$O$323,0)</f>
        <v>-3713481</v>
      </c>
      <c r="P150" s="71">
        <f>INDEX('Change in Proportion Layers'!$X$8:$X$321,MATCH('OPEB Amounts_Report'!A150,'Change in Proportion Layers'!$A$8:$A$321,0))</f>
        <v>756115</v>
      </c>
      <c r="Q150" s="71">
        <f t="shared" si="8"/>
        <v>-2957366</v>
      </c>
    </row>
    <row r="151" spans="1:17" ht="12" customHeight="1">
      <c r="A151" s="254">
        <v>2322</v>
      </c>
      <c r="B151" s="255" t="s">
        <v>141</v>
      </c>
      <c r="C151" s="89">
        <f>ROUND(VLOOKUP(A151,'Contribution Allocation_Report'!$A$9:$D$310,4,FALSE)*'OPEB Amounts_Report'!$C$323,0)</f>
        <v>790671</v>
      </c>
      <c r="D151" s="89">
        <f>ROUND(VLOOKUP(A151,'Contribution Allocation_Report'!$A$9:$D$310,4,FALSE)*'OPEB Amounts_Report'!$D$323,0)</f>
        <v>11561</v>
      </c>
      <c r="E151" s="89">
        <f>ROUND(VLOOKUP(A151,'Contribution Allocation_Report'!$A$9:$D$310,4,FALSE)*'OPEB Amounts_Report'!$E$323,0)</f>
        <v>158300</v>
      </c>
      <c r="F151" s="89">
        <f>INDEX('Change in Proportion Layers'!$Z$8:$Z$321,MATCH('OPEB Amounts_Report'!A151,'Change in Proportion Layers'!$A$8:$A$321,0))</f>
        <v>32272</v>
      </c>
      <c r="G151" s="89">
        <f t="shared" si="6"/>
        <v>202133</v>
      </c>
      <c r="H151" s="89"/>
      <c r="I151" s="89">
        <f>ROUND(VLOOKUP(A151,'Contribution Allocation_Report'!$A$9:$D$310,4,FALSE)*'OPEB Amounts_Report'!$I$323,0)</f>
        <v>126096</v>
      </c>
      <c r="J151" s="89">
        <f>ROUND(VLOOKUP(A151,'Contribution Allocation_Report'!$A$9:$D$310,4,FALSE)*'OPEB Amounts_Report'!$J$323,0)</f>
        <v>22664</v>
      </c>
      <c r="K151" s="89">
        <f>ROUND(VLOOKUP(A151,'Contribution Allocation_Report'!$A$9:$D$310,4,FALSE)*'OPEB Amounts_Report'!$K$323,0)</f>
        <v>285856</v>
      </c>
      <c r="L151" s="297">
        <f>INDEX('Change in Proportion Layers'!$AA$8:$AA$321,MATCH('OPEB Amounts_Report'!A151,'Change in Proportion Layers'!$A$8:$A$321,0))</f>
        <v>174132</v>
      </c>
      <c r="M151" s="89">
        <f t="shared" si="7"/>
        <v>608748</v>
      </c>
      <c r="N151" s="90"/>
      <c r="O151" s="90">
        <f>ROUND(VLOOKUP(A151,'Contribution Allocation_Report'!$A$9:$D$310,4,FALSE)*'OPEB Amounts_Report'!$O$323,0)</f>
        <v>-85149</v>
      </c>
      <c r="P151" s="90">
        <f>INDEX('Change in Proportion Layers'!$X$8:$X$321,MATCH('OPEB Amounts_Report'!A151,'Change in Proportion Layers'!$A$8:$A$321,0))</f>
        <v>-35831</v>
      </c>
      <c r="Q151" s="90">
        <f t="shared" si="8"/>
        <v>-120980</v>
      </c>
    </row>
    <row r="152" spans="1:17" ht="12" customHeight="1">
      <c r="A152" s="62">
        <v>3006</v>
      </c>
      <c r="B152" s="66" t="s">
        <v>142</v>
      </c>
      <c r="C152" s="70">
        <f>ROUND(VLOOKUP(A152,'Contribution Allocation_Report'!$A$9:$D$310,4,FALSE)*'OPEB Amounts_Report'!$C$323,0)</f>
        <v>2969541</v>
      </c>
      <c r="D152" s="70">
        <f>ROUND(VLOOKUP(A152,'Contribution Allocation_Report'!$A$9:$D$310,4,FALSE)*'OPEB Amounts_Report'!$D$323,0)</f>
        <v>43419</v>
      </c>
      <c r="E152" s="70">
        <f>ROUND(VLOOKUP(A152,'Contribution Allocation_Report'!$A$9:$D$310,4,FALSE)*'OPEB Amounts_Report'!$E$323,0)</f>
        <v>594530</v>
      </c>
      <c r="F152" s="70">
        <f>INDEX('Change in Proportion Layers'!$Z$8:$Z$321,MATCH('OPEB Amounts_Report'!A152,'Change in Proportion Layers'!$A$8:$A$321,0))</f>
        <v>737611</v>
      </c>
      <c r="G152" s="70">
        <f t="shared" si="6"/>
        <v>1375560</v>
      </c>
      <c r="H152" s="70"/>
      <c r="I152" s="70">
        <f>ROUND(VLOOKUP(A152,'Contribution Allocation_Report'!$A$9:$D$310,4,FALSE)*'OPEB Amounts_Report'!$I$323,0)</f>
        <v>473580</v>
      </c>
      <c r="J152" s="70">
        <f>ROUND(VLOOKUP(A152,'Contribution Allocation_Report'!$A$9:$D$310,4,FALSE)*'OPEB Amounts_Report'!$J$323,0)</f>
        <v>85119</v>
      </c>
      <c r="K152" s="70">
        <f>ROUND(VLOOKUP(A152,'Contribution Allocation_Report'!$A$9:$D$310,4,FALSE)*'OPEB Amounts_Report'!$K$323,0)</f>
        <v>1073594</v>
      </c>
      <c r="L152" s="296">
        <f>INDEX('Change in Proportion Layers'!$AA$8:$AA$321,MATCH('OPEB Amounts_Report'!A152,'Change in Proportion Layers'!$A$8:$A$321,0))</f>
        <v>242379</v>
      </c>
      <c r="M152" s="70">
        <f t="shared" si="7"/>
        <v>1874672</v>
      </c>
      <c r="N152" s="71"/>
      <c r="O152" s="71">
        <f>ROUND(VLOOKUP(A152,'Contribution Allocation_Report'!$A$9:$D$310,4,FALSE)*'OPEB Amounts_Report'!$O$323,0)</f>
        <v>-319795</v>
      </c>
      <c r="P152" s="71">
        <f>INDEX('Change in Proportion Layers'!$X$8:$X$321,MATCH('OPEB Amounts_Report'!A152,'Change in Proportion Layers'!$A$8:$A$321,0))</f>
        <v>45738</v>
      </c>
      <c r="Q152" s="71">
        <f t="shared" si="8"/>
        <v>-274057</v>
      </c>
    </row>
    <row r="153" spans="1:17" ht="12" customHeight="1">
      <c r="A153" s="254">
        <v>6019</v>
      </c>
      <c r="B153" s="255" t="s">
        <v>143</v>
      </c>
      <c r="C153" s="89">
        <f>ROUND(VLOOKUP(A153,'Contribution Allocation_Report'!$A$9:$D$310,4,FALSE)*'OPEB Amounts_Report'!$C$323,0)</f>
        <v>15293875</v>
      </c>
      <c r="D153" s="89">
        <f>ROUND(VLOOKUP(A153,'Contribution Allocation_Report'!$A$9:$D$310,4,FALSE)*'OPEB Amounts_Report'!$D$323,0)</f>
        <v>223617</v>
      </c>
      <c r="E153" s="89">
        <f>ROUND(VLOOKUP(A153,'Contribution Allocation_Report'!$A$9:$D$310,4,FALSE)*'OPEB Amounts_Report'!$E$323,0)</f>
        <v>3061975</v>
      </c>
      <c r="F153" s="89">
        <f>INDEX('Change in Proportion Layers'!$Z$8:$Z$321,MATCH('OPEB Amounts_Report'!A153,'Change in Proportion Layers'!$A$8:$A$321,0))</f>
        <v>1428869</v>
      </c>
      <c r="G153" s="89">
        <f t="shared" si="6"/>
        <v>4714461</v>
      </c>
      <c r="H153" s="89"/>
      <c r="I153" s="89">
        <f>ROUND(VLOOKUP(A153,'Contribution Allocation_Report'!$A$9:$D$310,4,FALSE)*'OPEB Amounts_Report'!$I$323,0)</f>
        <v>2439055</v>
      </c>
      <c r="J153" s="89">
        <f>ROUND(VLOOKUP(A153,'Contribution Allocation_Report'!$A$9:$D$310,4,FALSE)*'OPEB Amounts_Report'!$J$323,0)</f>
        <v>438386</v>
      </c>
      <c r="K153" s="89">
        <f>ROUND(VLOOKUP(A153,'Contribution Allocation_Report'!$A$9:$D$310,4,FALSE)*'OPEB Amounts_Report'!$K$323,0)</f>
        <v>5529278</v>
      </c>
      <c r="L153" s="297">
        <f>INDEX('Change in Proportion Layers'!$AA$8:$AA$321,MATCH('OPEB Amounts_Report'!A153,'Change in Proportion Layers'!$A$8:$A$321,0))</f>
        <v>111243</v>
      </c>
      <c r="M153" s="89">
        <f t="shared" si="7"/>
        <v>8517962</v>
      </c>
      <c r="N153" s="90"/>
      <c r="O153" s="90">
        <f>ROUND(VLOOKUP(A153,'Contribution Allocation_Report'!$A$9:$D$310,4,FALSE)*'OPEB Amounts_Report'!$O$323,0)</f>
        <v>-1647022</v>
      </c>
      <c r="P153" s="90">
        <f>INDEX('Change in Proportion Layers'!$X$8:$X$321,MATCH('OPEB Amounts_Report'!A153,'Change in Proportion Layers'!$A$8:$A$321,0))</f>
        <v>277117</v>
      </c>
      <c r="Q153" s="90">
        <f t="shared" si="8"/>
        <v>-1369905</v>
      </c>
    </row>
    <row r="154" spans="1:17" ht="12" customHeight="1">
      <c r="A154" s="62">
        <v>12128</v>
      </c>
      <c r="B154" s="63" t="s">
        <v>144</v>
      </c>
      <c r="C154" s="171">
        <f>ROUND(VLOOKUP(A154,'Contribution Allocation_Report'!$A$9:$D$310,4,FALSE)*'OPEB Amounts_Report'!$C$323,0)</f>
        <v>3869780</v>
      </c>
      <c r="D154" s="171">
        <f>ROUND(VLOOKUP(A154,'Contribution Allocation_Report'!$A$9:$D$310,4,FALSE)*'OPEB Amounts_Report'!$D$323,0)</f>
        <v>56581</v>
      </c>
      <c r="E154" s="171">
        <f>ROUND(VLOOKUP(A154,'Contribution Allocation_Report'!$A$9:$D$310,4,FALSE)*'OPEB Amounts_Report'!$E$323,0)</f>
        <v>774766</v>
      </c>
      <c r="F154" s="171">
        <f>INDEX('Change in Proportion Layers'!$Z$8:$Z$321,MATCH('OPEB Amounts_Report'!A154,'Change in Proportion Layers'!$A$8:$A$321,0))</f>
        <v>221552</v>
      </c>
      <c r="G154" s="171">
        <f t="shared" si="6"/>
        <v>1052899</v>
      </c>
      <c r="H154" s="171"/>
      <c r="I154" s="171">
        <f>ROUND(VLOOKUP(A154,'Contribution Allocation_Report'!$A$9:$D$310,4,FALSE)*'OPEB Amounts_Report'!$I$323,0)</f>
        <v>617149</v>
      </c>
      <c r="J154" s="171">
        <f>ROUND(VLOOKUP(A154,'Contribution Allocation_Report'!$A$9:$D$310,4,FALSE)*'OPEB Amounts_Report'!$J$323,0)</f>
        <v>110924</v>
      </c>
      <c r="K154" s="171">
        <f>ROUND(VLOOKUP(A154,'Contribution Allocation_Report'!$A$9:$D$310,4,FALSE)*'OPEB Amounts_Report'!$K$323,0)</f>
        <v>1399063</v>
      </c>
      <c r="L154" s="173">
        <f>INDEX('Change in Proportion Layers'!$AA$8:$AA$321,MATCH('OPEB Amounts_Report'!A154,'Change in Proportion Layers'!$A$8:$A$321,0))</f>
        <v>730561</v>
      </c>
      <c r="M154" s="171">
        <f t="shared" si="7"/>
        <v>2857697</v>
      </c>
      <c r="N154" s="172"/>
      <c r="O154" s="172">
        <f>ROUND(VLOOKUP(A154,'Contribution Allocation_Report'!$A$9:$D$310,4,FALSE)*'OPEB Amounts_Report'!$O$323,0)</f>
        <v>-416743</v>
      </c>
      <c r="P154" s="172">
        <f>INDEX('Change in Proportion Layers'!$X$8:$X$321,MATCH('OPEB Amounts_Report'!A154,'Change in Proportion Layers'!$A$8:$A$321,0))</f>
        <v>-89372</v>
      </c>
      <c r="Q154" s="172">
        <f t="shared" si="8"/>
        <v>-506115</v>
      </c>
    </row>
    <row r="155" spans="1:17" ht="12" customHeight="1">
      <c r="A155" s="254">
        <v>3180</v>
      </c>
      <c r="B155" s="255" t="s">
        <v>145</v>
      </c>
      <c r="C155" s="89">
        <f>ROUND(VLOOKUP(A155,'Contribution Allocation_Report'!$A$9:$D$310,4,FALSE)*'OPEB Amounts_Report'!$C$323,0)</f>
        <v>5849255</v>
      </c>
      <c r="D155" s="89">
        <f>ROUND(VLOOKUP(A155,'Contribution Allocation_Report'!$A$9:$D$310,4,FALSE)*'OPEB Amounts_Report'!$D$323,0)</f>
        <v>85524</v>
      </c>
      <c r="E155" s="89">
        <f>ROUND(VLOOKUP(A155,'Contribution Allocation_Report'!$A$9:$D$310,4,FALSE)*'OPEB Amounts_Report'!$E$323,0)</f>
        <v>1171075</v>
      </c>
      <c r="F155" s="89">
        <f>INDEX('Change in Proportion Layers'!$Z$8:$Z$321,MATCH('OPEB Amounts_Report'!A155,'Change in Proportion Layers'!$A$8:$A$321,0))</f>
        <v>0</v>
      </c>
      <c r="G155" s="89">
        <f t="shared" si="6"/>
        <v>1256599</v>
      </c>
      <c r="H155" s="89"/>
      <c r="I155" s="89">
        <f>ROUND(VLOOKUP(A155,'Contribution Allocation_Report'!$A$9:$D$310,4,FALSE)*'OPEB Amounts_Report'!$I$323,0)</f>
        <v>932834</v>
      </c>
      <c r="J155" s="89">
        <f>ROUND(VLOOKUP(A155,'Contribution Allocation_Report'!$A$9:$D$310,4,FALSE)*'OPEB Amounts_Report'!$J$323,0)</f>
        <v>167664</v>
      </c>
      <c r="K155" s="89">
        <f>ROUND(VLOOKUP(A155,'Contribution Allocation_Report'!$A$9:$D$310,4,FALSE)*'OPEB Amounts_Report'!$K$323,0)</f>
        <v>2114713</v>
      </c>
      <c r="L155" s="89">
        <f>INDEX('Change in Proportion Layers'!$AA$8:$AA$321,MATCH('OPEB Amounts_Report'!A155,'Change in Proportion Layers'!$A$8:$A$321,0))</f>
        <v>594543</v>
      </c>
      <c r="M155" s="89">
        <f t="shared" si="7"/>
        <v>3809754</v>
      </c>
      <c r="N155" s="90"/>
      <c r="O155" s="90">
        <f>ROUND(VLOOKUP(A155,'Contribution Allocation_Report'!$A$9:$D$310,4,FALSE)*'OPEB Amounts_Report'!$O$323,0)</f>
        <v>-629916</v>
      </c>
      <c r="P155" s="90">
        <f>INDEX('Change in Proportion Layers'!$X$8:$X$321,MATCH('OPEB Amounts_Report'!A155,'Change in Proportion Layers'!$A$8:$A$321,0))</f>
        <v>-176632</v>
      </c>
      <c r="Q155" s="90">
        <f t="shared" si="8"/>
        <v>-806548</v>
      </c>
    </row>
    <row r="156" spans="1:17" ht="12" customHeight="1">
      <c r="A156" s="62">
        <v>25075</v>
      </c>
      <c r="B156" s="66" t="s">
        <v>146</v>
      </c>
      <c r="C156" s="70">
        <f>ROUND(VLOOKUP(A156,'Contribution Allocation_Report'!$A$9:$D$310,4,FALSE)*'OPEB Amounts_Report'!$C$323,0)</f>
        <v>2383529</v>
      </c>
      <c r="D156" s="70">
        <f>ROUND(VLOOKUP(A156,'Contribution Allocation_Report'!$A$9:$D$310,4,FALSE)*'OPEB Amounts_Report'!$D$323,0)</f>
        <v>34850</v>
      </c>
      <c r="E156" s="70">
        <f>ROUND(VLOOKUP(A156,'Contribution Allocation_Report'!$A$9:$D$310,4,FALSE)*'OPEB Amounts_Report'!$E$323,0)</f>
        <v>477205</v>
      </c>
      <c r="F156" s="70">
        <f>INDEX('Change in Proportion Layers'!$Z$8:$Z$321,MATCH('OPEB Amounts_Report'!A156,'Change in Proportion Layers'!$A$8:$A$321,0))</f>
        <v>280355</v>
      </c>
      <c r="G156" s="70">
        <f t="shared" si="6"/>
        <v>792410</v>
      </c>
      <c r="H156" s="70"/>
      <c r="I156" s="70">
        <f>ROUND(VLOOKUP(A156,'Contribution Allocation_Report'!$A$9:$D$310,4,FALSE)*'OPEB Amounts_Report'!$I$323,0)</f>
        <v>380123</v>
      </c>
      <c r="J156" s="70">
        <f>ROUND(VLOOKUP(A156,'Contribution Allocation_Report'!$A$9:$D$310,4,FALSE)*'OPEB Amounts_Report'!$J$323,0)</f>
        <v>68322</v>
      </c>
      <c r="K156" s="70">
        <f>ROUND(VLOOKUP(A156,'Contribution Allocation_Report'!$A$9:$D$310,4,FALSE)*'OPEB Amounts_Report'!$K$323,0)</f>
        <v>861730</v>
      </c>
      <c r="L156" s="70">
        <f>INDEX('Change in Proportion Layers'!$AA$8:$AA$321,MATCH('OPEB Amounts_Report'!A156,'Change in Proportion Layers'!$A$8:$A$321,0))</f>
        <v>237773</v>
      </c>
      <c r="M156" s="70">
        <f t="shared" si="7"/>
        <v>1547948</v>
      </c>
      <c r="N156" s="71"/>
      <c r="O156" s="71">
        <f>ROUND(VLOOKUP(A156,'Contribution Allocation_Report'!$A$9:$D$310,4,FALSE)*'OPEB Amounts_Report'!$O$323,0)</f>
        <v>-256686</v>
      </c>
      <c r="P156" s="71">
        <f>INDEX('Change in Proportion Layers'!$X$8:$X$321,MATCH('OPEB Amounts_Report'!A156,'Change in Proportion Layers'!$A$8:$A$321,0))</f>
        <v>-24327</v>
      </c>
      <c r="Q156" s="71">
        <f t="shared" si="8"/>
        <v>-281013</v>
      </c>
    </row>
    <row r="157" spans="1:17" ht="12" customHeight="1">
      <c r="A157" s="254">
        <v>9028</v>
      </c>
      <c r="B157" s="255" t="s">
        <v>147</v>
      </c>
      <c r="C157" s="89">
        <f>ROUND(VLOOKUP(A157,'Contribution Allocation_Report'!$A$9:$D$310,4,FALSE)*'OPEB Amounts_Report'!$C$323,0)</f>
        <v>942685</v>
      </c>
      <c r="D157" s="89">
        <f>ROUND(VLOOKUP(A157,'Contribution Allocation_Report'!$A$9:$D$310,4,FALSE)*'OPEB Amounts_Report'!$D$323,0)</f>
        <v>13783</v>
      </c>
      <c r="E157" s="89">
        <f>ROUND(VLOOKUP(A157,'Contribution Allocation_Report'!$A$9:$D$310,4,FALSE)*'OPEB Amounts_Report'!$E$323,0)</f>
        <v>188734</v>
      </c>
      <c r="F157" s="89">
        <f>INDEX('Change in Proportion Layers'!$Z$8:$Z$321,MATCH('OPEB Amounts_Report'!A157,'Change in Proportion Layers'!$A$8:$A$321,0))</f>
        <v>15038</v>
      </c>
      <c r="G157" s="89">
        <f t="shared" si="6"/>
        <v>217555</v>
      </c>
      <c r="H157" s="89"/>
      <c r="I157" s="89">
        <f>ROUND(VLOOKUP(A157,'Contribution Allocation_Report'!$A$9:$D$310,4,FALSE)*'OPEB Amounts_Report'!$I$323,0)</f>
        <v>150339</v>
      </c>
      <c r="J157" s="89">
        <f>ROUND(VLOOKUP(A157,'Contribution Allocation_Report'!$A$9:$D$310,4,FALSE)*'OPEB Amounts_Report'!$J$323,0)</f>
        <v>27021</v>
      </c>
      <c r="K157" s="89">
        <f>ROUND(VLOOKUP(A157,'Contribution Allocation_Report'!$A$9:$D$310,4,FALSE)*'OPEB Amounts_Report'!$K$323,0)</f>
        <v>340814</v>
      </c>
      <c r="L157" s="89">
        <f>INDEX('Change in Proportion Layers'!$AA$8:$AA$321,MATCH('OPEB Amounts_Report'!A157,'Change in Proportion Layers'!$A$8:$A$321,0))</f>
        <v>77347</v>
      </c>
      <c r="M157" s="89">
        <f t="shared" si="7"/>
        <v>595521</v>
      </c>
      <c r="N157" s="90"/>
      <c r="O157" s="90">
        <f>ROUND(VLOOKUP(A157,'Contribution Allocation_Report'!$A$9:$D$310,4,FALSE)*'OPEB Amounts_Report'!$O$323,0)</f>
        <v>-101519</v>
      </c>
      <c r="P157" s="90">
        <f>INDEX('Change in Proportion Layers'!$X$8:$X$321,MATCH('OPEB Amounts_Report'!A157,'Change in Proportion Layers'!$A$8:$A$321,0))</f>
        <v>-15191</v>
      </c>
      <c r="Q157" s="90">
        <f t="shared" si="8"/>
        <v>-116710</v>
      </c>
    </row>
    <row r="158" spans="1:17" ht="12" customHeight="1">
      <c r="A158" s="62">
        <v>17424</v>
      </c>
      <c r="B158" s="66" t="s">
        <v>148</v>
      </c>
      <c r="C158" s="70">
        <f>ROUND(VLOOKUP(A158,'Contribution Allocation_Report'!$A$9:$D$310,4,FALSE)*'OPEB Amounts_Report'!$C$323,0)</f>
        <v>1698808</v>
      </c>
      <c r="D158" s="70">
        <f>ROUND(VLOOKUP(A158,'Contribution Allocation_Report'!$A$9:$D$310,4,FALSE)*'OPEB Amounts_Report'!$D$323,0)</f>
        <v>24839</v>
      </c>
      <c r="E158" s="70">
        <f>ROUND(VLOOKUP(A158,'Contribution Allocation_Report'!$A$9:$D$310,4,FALSE)*'OPEB Amounts_Report'!$E$323,0)</f>
        <v>340117</v>
      </c>
      <c r="F158" s="70">
        <f>INDEX('Change in Proportion Layers'!$Z$8:$Z$321,MATCH('OPEB Amounts_Report'!A158,'Change in Proportion Layers'!$A$8:$A$321,0))</f>
        <v>202575</v>
      </c>
      <c r="G158" s="70">
        <f t="shared" si="6"/>
        <v>567531</v>
      </c>
      <c r="H158" s="70"/>
      <c r="I158" s="70">
        <f>ROUND(VLOOKUP(A158,'Contribution Allocation_Report'!$A$9:$D$310,4,FALSE)*'OPEB Amounts_Report'!$I$323,0)</f>
        <v>270924</v>
      </c>
      <c r="J158" s="70">
        <f>ROUND(VLOOKUP(A158,'Contribution Allocation_Report'!$A$9:$D$310,4,FALSE)*'OPEB Amounts_Report'!$J$323,0)</f>
        <v>48695</v>
      </c>
      <c r="K158" s="70">
        <f>ROUND(VLOOKUP(A158,'Contribution Allocation_Report'!$A$9:$D$310,4,FALSE)*'OPEB Amounts_Report'!$K$323,0)</f>
        <v>614179</v>
      </c>
      <c r="L158" s="70">
        <f>INDEX('Change in Proportion Layers'!$AA$8:$AA$321,MATCH('OPEB Amounts_Report'!A158,'Change in Proportion Layers'!$A$8:$A$321,0))</f>
        <v>66242</v>
      </c>
      <c r="M158" s="70">
        <f t="shared" si="7"/>
        <v>1000040</v>
      </c>
      <c r="N158" s="71"/>
      <c r="O158" s="71">
        <f>ROUND(VLOOKUP(A158,'Contribution Allocation_Report'!$A$9:$D$310,4,FALSE)*'OPEB Amounts_Report'!$O$323,0)</f>
        <v>-182947</v>
      </c>
      <c r="P158" s="71">
        <f>INDEX('Change in Proportion Layers'!$X$8:$X$321,MATCH('OPEB Amounts_Report'!A158,'Change in Proportion Layers'!$A$8:$A$321,0))</f>
        <v>12645</v>
      </c>
      <c r="Q158" s="71">
        <f t="shared" si="8"/>
        <v>-170302</v>
      </c>
    </row>
    <row r="159" spans="1:17" ht="12" customHeight="1">
      <c r="A159" s="254">
        <v>3200</v>
      </c>
      <c r="B159" s="255" t="s">
        <v>149</v>
      </c>
      <c r="C159" s="89">
        <f>ROUND(VLOOKUP(A159,'Contribution Allocation_Report'!$A$9:$D$310,4,FALSE)*'OPEB Amounts_Report'!$C$323,0)</f>
        <v>6800166</v>
      </c>
      <c r="D159" s="89">
        <f>ROUND(VLOOKUP(A159,'Contribution Allocation_Report'!$A$9:$D$310,4,FALSE)*'OPEB Amounts_Report'!$D$323,0)</f>
        <v>99427</v>
      </c>
      <c r="E159" s="89">
        <f>ROUND(VLOOKUP(A159,'Contribution Allocation_Report'!$A$9:$D$310,4,FALSE)*'OPEB Amounts_Report'!$E$323,0)</f>
        <v>1361456</v>
      </c>
      <c r="F159" s="89">
        <f>INDEX('Change in Proportion Layers'!$Z$8:$Z$321,MATCH('OPEB Amounts_Report'!A159,'Change in Proportion Layers'!$A$8:$A$321,0))</f>
        <v>0</v>
      </c>
      <c r="G159" s="89">
        <f t="shared" si="6"/>
        <v>1460883</v>
      </c>
      <c r="H159" s="89"/>
      <c r="I159" s="89">
        <f>ROUND(VLOOKUP(A159,'Contribution Allocation_Report'!$A$9:$D$310,4,FALSE)*'OPEB Amounts_Report'!$I$323,0)</f>
        <v>1084485</v>
      </c>
      <c r="J159" s="89">
        <f>ROUND(VLOOKUP(A159,'Contribution Allocation_Report'!$A$9:$D$310,4,FALSE)*'OPEB Amounts_Report'!$J$323,0)</f>
        <v>194921</v>
      </c>
      <c r="K159" s="89">
        <f>ROUND(VLOOKUP(A159,'Contribution Allocation_Report'!$A$9:$D$310,4,FALSE)*'OPEB Amounts_Report'!$K$323,0)</f>
        <v>2458501</v>
      </c>
      <c r="L159" s="89">
        <f>INDEX('Change in Proportion Layers'!$AA$8:$AA$321,MATCH('OPEB Amounts_Report'!A159,'Change in Proportion Layers'!$A$8:$A$321,0))</f>
        <v>1186026</v>
      </c>
      <c r="M159" s="89">
        <f t="shared" si="7"/>
        <v>4923933</v>
      </c>
      <c r="N159" s="90"/>
      <c r="O159" s="90">
        <f>ROUND(VLOOKUP(A159,'Contribution Allocation_Report'!$A$9:$D$310,4,FALSE)*'OPEB Amounts_Report'!$O$323,0)</f>
        <v>-732321</v>
      </c>
      <c r="P159" s="90">
        <f>INDEX('Change in Proportion Layers'!$X$8:$X$321,MATCH('OPEB Amounts_Report'!A159,'Change in Proportion Layers'!$A$8:$A$321,0))</f>
        <v>-453152</v>
      </c>
      <c r="Q159" s="90">
        <f t="shared" si="8"/>
        <v>-1185473</v>
      </c>
    </row>
    <row r="160" spans="1:17" ht="12" customHeight="1">
      <c r="A160" s="62">
        <v>2365</v>
      </c>
      <c r="B160" s="66" t="s">
        <v>150</v>
      </c>
      <c r="C160" s="70">
        <f>ROUND(VLOOKUP(A160,'Contribution Allocation_Report'!$A$9:$D$310,4,FALSE)*'OPEB Amounts_Report'!$C$323,0)</f>
        <v>1090093</v>
      </c>
      <c r="D160" s="70">
        <f>ROUND(VLOOKUP(A160,'Contribution Allocation_Report'!$A$9:$D$310,4,FALSE)*'OPEB Amounts_Report'!$D$323,0)</f>
        <v>15939</v>
      </c>
      <c r="E160" s="70">
        <f>ROUND(VLOOKUP(A160,'Contribution Allocation_Report'!$A$9:$D$310,4,FALSE)*'OPEB Amounts_Report'!$E$323,0)</f>
        <v>218247</v>
      </c>
      <c r="F160" s="296">
        <f>INDEX('Change in Proportion Layers'!$Z$8:$Z$321,MATCH('OPEB Amounts_Report'!A160,'Change in Proportion Layers'!$A$8:$A$321,0))</f>
        <v>108667</v>
      </c>
      <c r="G160" s="70">
        <f t="shared" si="6"/>
        <v>342853</v>
      </c>
      <c r="H160" s="70"/>
      <c r="I160" s="70">
        <f>ROUND(VLOOKUP(A160,'Contribution Allocation_Report'!$A$9:$D$310,4,FALSE)*'OPEB Amounts_Report'!$I$323,0)</f>
        <v>173847</v>
      </c>
      <c r="J160" s="70">
        <f>ROUND(VLOOKUP(A160,'Contribution Allocation_Report'!$A$9:$D$310,4,FALSE)*'OPEB Amounts_Report'!$J$323,0)</f>
        <v>31247</v>
      </c>
      <c r="K160" s="70">
        <f>ROUND(VLOOKUP(A160,'Contribution Allocation_Report'!$A$9:$D$310,4,FALSE)*'OPEB Amounts_Report'!$K$323,0)</f>
        <v>394107</v>
      </c>
      <c r="L160" s="70">
        <f>INDEX('Change in Proportion Layers'!$AA$8:$AA$321,MATCH('OPEB Amounts_Report'!A160,'Change in Proportion Layers'!$A$8:$A$321,0))</f>
        <v>177197</v>
      </c>
      <c r="M160" s="70">
        <f t="shared" si="7"/>
        <v>776398</v>
      </c>
      <c r="N160" s="71"/>
      <c r="O160" s="71">
        <f>ROUND(VLOOKUP(A160,'Contribution Allocation_Report'!$A$9:$D$310,4,FALSE)*'OPEB Amounts_Report'!$O$323,0)</f>
        <v>-117394</v>
      </c>
      <c r="P160" s="71">
        <f>INDEX('Change in Proportion Layers'!$X$8:$X$321,MATCH('OPEB Amounts_Report'!A160,'Change in Proportion Layers'!$A$8:$A$321,0))</f>
        <v>4738</v>
      </c>
      <c r="Q160" s="71">
        <f t="shared" si="8"/>
        <v>-112656</v>
      </c>
    </row>
    <row r="161" spans="1:17" ht="12" customHeight="1">
      <c r="A161" s="254">
        <v>5014</v>
      </c>
      <c r="B161" s="255" t="s">
        <v>151</v>
      </c>
      <c r="C161" s="89">
        <f>ROUND(VLOOKUP(A161,'Contribution Allocation_Report'!$A$9:$D$310,4,FALSE)*'OPEB Amounts_Report'!$C$323,0)</f>
        <v>1298372</v>
      </c>
      <c r="D161" s="89">
        <f>ROUND(VLOOKUP(A161,'Contribution Allocation_Report'!$A$9:$D$310,4,FALSE)*'OPEB Amounts_Report'!$D$323,0)</f>
        <v>18984</v>
      </c>
      <c r="E161" s="89">
        <f>ROUND(VLOOKUP(A161,'Contribution Allocation_Report'!$A$9:$D$310,4,FALSE)*'OPEB Amounts_Report'!$E$323,0)</f>
        <v>259946</v>
      </c>
      <c r="F161" s="89">
        <f>INDEX('Change in Proportion Layers'!$Z$8:$Z$321,MATCH('OPEB Amounts_Report'!A161,'Change in Proportion Layers'!$A$8:$A$321,0))</f>
        <v>47822</v>
      </c>
      <c r="G161" s="89">
        <f t="shared" si="6"/>
        <v>326752</v>
      </c>
      <c r="H161" s="89"/>
      <c r="I161" s="89">
        <f>ROUND(VLOOKUP(A161,'Contribution Allocation_Report'!$A$9:$D$310,4,FALSE)*'OPEB Amounts_Report'!$I$323,0)</f>
        <v>207063</v>
      </c>
      <c r="J161" s="89">
        <f>ROUND(VLOOKUP(A161,'Contribution Allocation_Report'!$A$9:$D$310,4,FALSE)*'OPEB Amounts_Report'!$J$323,0)</f>
        <v>37217</v>
      </c>
      <c r="K161" s="89">
        <f>ROUND(VLOOKUP(A161,'Contribution Allocation_Report'!$A$9:$D$310,4,FALSE)*'OPEB Amounts_Report'!$K$323,0)</f>
        <v>469408</v>
      </c>
      <c r="L161" s="297">
        <f>INDEX('Change in Proportion Layers'!$AA$8:$AA$321,MATCH('OPEB Amounts_Report'!A161,'Change in Proportion Layers'!$A$8:$A$321,0))</f>
        <v>37428</v>
      </c>
      <c r="M161" s="89">
        <f t="shared" si="7"/>
        <v>751116</v>
      </c>
      <c r="N161" s="90"/>
      <c r="O161" s="90">
        <f>ROUND(VLOOKUP(A161,'Contribution Allocation_Report'!$A$9:$D$310,4,FALSE)*'OPEB Amounts_Report'!$O$323,0)</f>
        <v>-139824</v>
      </c>
      <c r="P161" s="90">
        <f>INDEX('Change in Proportion Layers'!$X$8:$X$321,MATCH('OPEB Amounts_Report'!A161,'Change in Proportion Layers'!$A$8:$A$321,0))</f>
        <v>9358</v>
      </c>
      <c r="Q161" s="90">
        <f t="shared" si="8"/>
        <v>-130466</v>
      </c>
    </row>
    <row r="162" spans="1:17" ht="12" customHeight="1">
      <c r="A162" s="62">
        <v>17127</v>
      </c>
      <c r="B162" s="66" t="s">
        <v>152</v>
      </c>
      <c r="C162" s="70">
        <f>ROUND(VLOOKUP(A162,'Contribution Allocation_Report'!$A$9:$D$310,4,FALSE)*'OPEB Amounts_Report'!$C$323,0)</f>
        <v>1380302</v>
      </c>
      <c r="D162" s="70">
        <f>ROUND(VLOOKUP(A162,'Contribution Allocation_Report'!$A$9:$D$310,4,FALSE)*'OPEB Amounts_Report'!$D$323,0)</f>
        <v>20182</v>
      </c>
      <c r="E162" s="70">
        <f>ROUND(VLOOKUP(A162,'Contribution Allocation_Report'!$A$9:$D$310,4,FALSE)*'OPEB Amounts_Report'!$E$323,0)</f>
        <v>276349</v>
      </c>
      <c r="F162" s="296">
        <f>INDEX('Change in Proportion Layers'!$Z$8:$Z$321,MATCH('OPEB Amounts_Report'!A162,'Change in Proportion Layers'!$A$8:$A$321,0))</f>
        <v>458184</v>
      </c>
      <c r="G162" s="70">
        <f t="shared" si="6"/>
        <v>754715</v>
      </c>
      <c r="H162" s="70"/>
      <c r="I162" s="70">
        <f>ROUND(VLOOKUP(A162,'Contribution Allocation_Report'!$A$9:$D$310,4,FALSE)*'OPEB Amounts_Report'!$I$323,0)</f>
        <v>220129</v>
      </c>
      <c r="J162" s="70">
        <f>ROUND(VLOOKUP(A162,'Contribution Allocation_Report'!$A$9:$D$310,4,FALSE)*'OPEB Amounts_Report'!$J$323,0)</f>
        <v>39565</v>
      </c>
      <c r="K162" s="70">
        <f>ROUND(VLOOKUP(A162,'Contribution Allocation_Report'!$A$9:$D$310,4,FALSE)*'OPEB Amounts_Report'!$K$323,0)</f>
        <v>499028</v>
      </c>
      <c r="L162" s="70">
        <f>INDEX('Change in Proportion Layers'!$AA$8:$AA$321,MATCH('OPEB Amounts_Report'!A162,'Change in Proportion Layers'!$A$8:$A$321,0))</f>
        <v>843297</v>
      </c>
      <c r="M162" s="70">
        <f t="shared" si="7"/>
        <v>1602019</v>
      </c>
      <c r="N162" s="71"/>
      <c r="O162" s="71">
        <f>ROUND(VLOOKUP(A162,'Contribution Allocation_Report'!$A$9:$D$310,4,FALSE)*'OPEB Amounts_Report'!$O$323,0)</f>
        <v>-148647</v>
      </c>
      <c r="P162" s="71">
        <f>INDEX('Change in Proportion Layers'!$X$8:$X$321,MATCH('OPEB Amounts_Report'!A162,'Change in Proportion Layers'!$A$8:$A$321,0))</f>
        <v>-170883</v>
      </c>
      <c r="Q162" s="71">
        <f t="shared" si="8"/>
        <v>-319530</v>
      </c>
    </row>
    <row r="163" spans="1:17" ht="12" customHeight="1">
      <c r="A163" s="254">
        <v>10141</v>
      </c>
      <c r="B163" s="255" t="s">
        <v>153</v>
      </c>
      <c r="C163" s="89">
        <f>ROUND(VLOOKUP(A163,'Contribution Allocation_Report'!$A$9:$D$310,4,FALSE)*'OPEB Amounts_Report'!$C$323,0)</f>
        <v>2038043</v>
      </c>
      <c r="D163" s="89">
        <f>ROUND(VLOOKUP(A163,'Contribution Allocation_Report'!$A$9:$D$310,4,FALSE)*'OPEB Amounts_Report'!$D$323,0)</f>
        <v>29799</v>
      </c>
      <c r="E163" s="89">
        <f>ROUND(VLOOKUP(A163,'Contribution Allocation_Report'!$A$9:$D$310,4,FALSE)*'OPEB Amounts_Report'!$E$323,0)</f>
        <v>408035</v>
      </c>
      <c r="F163" s="89">
        <f>INDEX('Change in Proportion Layers'!$Z$8:$Z$321,MATCH('OPEB Amounts_Report'!A163,'Change in Proportion Layers'!$A$8:$A$321,0))</f>
        <v>5519</v>
      </c>
      <c r="G163" s="89">
        <f t="shared" si="6"/>
        <v>443353</v>
      </c>
      <c r="H163" s="89"/>
      <c r="I163" s="89">
        <f>ROUND(VLOOKUP(A163,'Contribution Allocation_Report'!$A$9:$D$310,4,FALSE)*'OPEB Amounts_Report'!$I$323,0)</f>
        <v>325025</v>
      </c>
      <c r="J163" s="89">
        <f>ROUND(VLOOKUP(A163,'Contribution Allocation_Report'!$A$9:$D$310,4,FALSE)*'OPEB Amounts_Report'!$J$323,0)</f>
        <v>58419</v>
      </c>
      <c r="K163" s="89">
        <f>ROUND(VLOOKUP(A163,'Contribution Allocation_Report'!$A$9:$D$310,4,FALSE)*'OPEB Amounts_Report'!$K$323,0)</f>
        <v>736825</v>
      </c>
      <c r="L163" s="89">
        <f>INDEX('Change in Proportion Layers'!$AA$8:$AA$321,MATCH('OPEB Amounts_Report'!A163,'Change in Proportion Layers'!$A$8:$A$321,0))</f>
        <v>364179</v>
      </c>
      <c r="M163" s="89">
        <f t="shared" si="7"/>
        <v>1484448</v>
      </c>
      <c r="N163" s="90"/>
      <c r="O163" s="90">
        <f>ROUND(VLOOKUP(A163,'Contribution Allocation_Report'!$A$9:$D$310,4,FALSE)*'OPEB Amounts_Report'!$O$323,0)</f>
        <v>-219480</v>
      </c>
      <c r="P163" s="90">
        <f>INDEX('Change in Proportion Layers'!$X$8:$X$321,MATCH('OPEB Amounts_Report'!A163,'Change in Proportion Layers'!$A$8:$A$321,0))</f>
        <v>-82995</v>
      </c>
      <c r="Q163" s="90">
        <f t="shared" si="8"/>
        <v>-302475</v>
      </c>
    </row>
    <row r="164" spans="1:17" ht="12" customHeight="1">
      <c r="A164" s="62">
        <v>4570</v>
      </c>
      <c r="B164" s="66" t="s">
        <v>413</v>
      </c>
      <c r="C164" s="70">
        <f>ROUND(VLOOKUP(A164,'Contribution Allocation_Report'!$A$9:$D$310,4,FALSE)*'OPEB Amounts_Report'!$C$323,0)</f>
        <v>4833524</v>
      </c>
      <c r="D164" s="70">
        <f>ROUND(VLOOKUP(A164,'Contribution Allocation_Report'!$A$9:$D$310,4,FALSE)*'OPEB Amounts_Report'!$D$323,0)</f>
        <v>70672</v>
      </c>
      <c r="E164" s="70">
        <f>ROUND(VLOOKUP(A164,'Contribution Allocation_Report'!$A$9:$D$310,4,FALSE)*'OPEB Amounts_Report'!$E$323,0)</f>
        <v>967716</v>
      </c>
      <c r="F164" s="70">
        <f>INDEX('Change in Proportion Layers'!$Z$8:$Z$321,MATCH('OPEB Amounts_Report'!A164,'Change in Proportion Layers'!$A$8:$A$321,0))</f>
        <v>4016282</v>
      </c>
      <c r="G164" s="70">
        <f t="shared" si="6"/>
        <v>5054670</v>
      </c>
      <c r="H164" s="70"/>
      <c r="I164" s="70">
        <f>ROUND(VLOOKUP(A164,'Contribution Allocation_Report'!$A$9:$D$310,4,FALSE)*'OPEB Amounts_Report'!$I$323,0)</f>
        <v>770847</v>
      </c>
      <c r="J164" s="70">
        <f>ROUND(VLOOKUP(A164,'Contribution Allocation_Report'!$A$9:$D$310,4,FALSE)*'OPEB Amounts_Report'!$J$323,0)</f>
        <v>138549</v>
      </c>
      <c r="K164" s="70">
        <f>ROUND(VLOOKUP(A164,'Contribution Allocation_Report'!$A$9:$D$310,4,FALSE)*'OPEB Amounts_Report'!$K$323,0)</f>
        <v>1747490</v>
      </c>
      <c r="L164" s="70">
        <f>INDEX('Change in Proportion Layers'!$AA$8:$AA$321,MATCH('OPEB Amounts_Report'!A164,'Change in Proportion Layers'!$A$8:$A$321,0))</f>
        <v>200271</v>
      </c>
      <c r="M164" s="70">
        <f t="shared" si="7"/>
        <v>2857157</v>
      </c>
      <c r="N164" s="71"/>
      <c r="O164" s="71">
        <f>ROUND(VLOOKUP(A164,'Contribution Allocation_Report'!$A$9:$D$310,4,FALSE)*'OPEB Amounts_Report'!$O$323,0)</f>
        <v>-520530</v>
      </c>
      <c r="P164" s="71">
        <f>INDEX('Change in Proportion Layers'!$X$8:$X$321,MATCH('OPEB Amounts_Report'!A164,'Change in Proportion Layers'!$A$8:$A$321,0))</f>
        <v>1420464</v>
      </c>
      <c r="Q164" s="71">
        <f t="shared" si="8"/>
        <v>899934</v>
      </c>
    </row>
    <row r="165" spans="1:17" ht="12" customHeight="1">
      <c r="A165" s="254">
        <v>13369</v>
      </c>
      <c r="B165" s="255" t="s">
        <v>154</v>
      </c>
      <c r="C165" s="89">
        <f>ROUND(VLOOKUP(A165,'Contribution Allocation_Report'!$A$9:$D$310,4,FALSE)*'OPEB Amounts_Report'!$C$323,0)</f>
        <v>437946</v>
      </c>
      <c r="D165" s="89">
        <f>ROUND(VLOOKUP(A165,'Contribution Allocation_Report'!$A$9:$D$310,4,FALSE)*'OPEB Amounts_Report'!$D$323,0)</f>
        <v>6403</v>
      </c>
      <c r="E165" s="89">
        <f>ROUND(VLOOKUP(A165,'Contribution Allocation_Report'!$A$9:$D$310,4,FALSE)*'OPEB Amounts_Report'!$E$323,0)</f>
        <v>87681</v>
      </c>
      <c r="F165" s="89">
        <f>INDEX('Change in Proportion Layers'!$Z$8:$Z$321,MATCH('OPEB Amounts_Report'!A165,'Change in Proportion Layers'!$A$8:$A$321,0))</f>
        <v>75588</v>
      </c>
      <c r="G165" s="89">
        <f t="shared" si="6"/>
        <v>169672</v>
      </c>
      <c r="H165" s="89"/>
      <c r="I165" s="89">
        <f>ROUND(VLOOKUP(A165,'Contribution Allocation_Report'!$A$9:$D$310,4,FALSE)*'OPEB Amounts_Report'!$I$323,0)</f>
        <v>69843</v>
      </c>
      <c r="J165" s="89">
        <f>ROUND(VLOOKUP(A165,'Contribution Allocation_Report'!$A$9:$D$310,4,FALSE)*'OPEB Amounts_Report'!$J$323,0)</f>
        <v>12553</v>
      </c>
      <c r="K165" s="89">
        <f>ROUND(VLOOKUP(A165,'Contribution Allocation_Report'!$A$9:$D$310,4,FALSE)*'OPEB Amounts_Report'!$K$323,0)</f>
        <v>158333</v>
      </c>
      <c r="L165" s="89">
        <f>INDEX('Change in Proportion Layers'!$AA$8:$AA$321,MATCH('OPEB Amounts_Report'!A165,'Change in Proportion Layers'!$A$8:$A$321,0))</f>
        <v>73984</v>
      </c>
      <c r="M165" s="89">
        <f t="shared" si="7"/>
        <v>314713</v>
      </c>
      <c r="N165" s="90"/>
      <c r="O165" s="90">
        <f>ROUND(VLOOKUP(A165,'Contribution Allocation_Report'!$A$9:$D$310,4,FALSE)*'OPEB Amounts_Report'!$O$323,0)</f>
        <v>-47163</v>
      </c>
      <c r="P165" s="90">
        <f>INDEX('Change in Proportion Layers'!$X$8:$X$321,MATCH('OPEB Amounts_Report'!A165,'Change in Proportion Layers'!$A$8:$A$321,0))</f>
        <v>5028</v>
      </c>
      <c r="Q165" s="90">
        <f t="shared" si="8"/>
        <v>-42135</v>
      </c>
    </row>
    <row r="166" spans="1:17" ht="12" customHeight="1">
      <c r="A166" s="62">
        <v>2425</v>
      </c>
      <c r="B166" s="66" t="s">
        <v>155</v>
      </c>
      <c r="C166" s="70">
        <f>ROUND(VLOOKUP(A166,'Contribution Allocation_Report'!$A$9:$D$310,4,FALSE)*'OPEB Amounts_Report'!$C$323,0)</f>
        <v>5733105</v>
      </c>
      <c r="D166" s="70">
        <f>ROUND(VLOOKUP(A166,'Contribution Allocation_Report'!$A$9:$D$310,4,FALSE)*'OPEB Amounts_Report'!$D$323,0)</f>
        <v>83826</v>
      </c>
      <c r="E166" s="70">
        <f>ROUND(VLOOKUP(A166,'Contribution Allocation_Report'!$A$9:$D$310,4,FALSE)*'OPEB Amounts_Report'!$E$323,0)</f>
        <v>1147821</v>
      </c>
      <c r="F166" s="70">
        <f>INDEX('Change in Proportion Layers'!$Z$8:$Z$321,MATCH('OPEB Amounts_Report'!A166,'Change in Proportion Layers'!$A$8:$A$321,0))</f>
        <v>3112898</v>
      </c>
      <c r="G166" s="70">
        <f t="shared" si="6"/>
        <v>4344545</v>
      </c>
      <c r="H166" s="70"/>
      <c r="I166" s="70">
        <f>ROUND(VLOOKUP(A166,'Contribution Allocation_Report'!$A$9:$D$310,4,FALSE)*'OPEB Amounts_Report'!$I$323,0)</f>
        <v>914311</v>
      </c>
      <c r="J166" s="70">
        <f>ROUND(VLOOKUP(A166,'Contribution Allocation_Report'!$A$9:$D$310,4,FALSE)*'OPEB Amounts_Report'!$J$323,0)</f>
        <v>164335</v>
      </c>
      <c r="K166" s="70">
        <f>ROUND(VLOOKUP(A166,'Contribution Allocation_Report'!$A$9:$D$310,4,FALSE)*'OPEB Amounts_Report'!$K$323,0)</f>
        <v>2072721</v>
      </c>
      <c r="L166" s="296">
        <f>INDEX('Change in Proportion Layers'!$AA$8:$AA$321,MATCH('OPEB Amounts_Report'!A166,'Change in Proportion Layers'!$A$8:$A$321,0))</f>
        <v>31951</v>
      </c>
      <c r="M166" s="70">
        <f t="shared" si="7"/>
        <v>3183318</v>
      </c>
      <c r="N166" s="71"/>
      <c r="O166" s="71">
        <f>ROUND(VLOOKUP(A166,'Contribution Allocation_Report'!$A$9:$D$310,4,FALSE)*'OPEB Amounts_Report'!$O$323,0)</f>
        <v>-617407</v>
      </c>
      <c r="P166" s="71">
        <f>INDEX('Change in Proportion Layers'!$X$8:$X$321,MATCH('OPEB Amounts_Report'!A166,'Change in Proportion Layers'!$A$8:$A$321,0))</f>
        <v>810594</v>
      </c>
      <c r="Q166" s="71">
        <f t="shared" si="8"/>
        <v>193187</v>
      </c>
    </row>
    <row r="167" spans="1:17" ht="12" customHeight="1">
      <c r="A167" s="254">
        <v>1306</v>
      </c>
      <c r="B167" s="255" t="s">
        <v>156</v>
      </c>
      <c r="C167" s="89">
        <f>ROUND(VLOOKUP(A167,'Contribution Allocation_Report'!$A$9:$D$310,4,FALSE)*'OPEB Amounts_Report'!$C$323,0)</f>
        <v>1556664</v>
      </c>
      <c r="D167" s="89">
        <f>ROUND(VLOOKUP(A167,'Contribution Allocation_Report'!$A$9:$D$310,4,FALSE)*'OPEB Amounts_Report'!$D$323,0)</f>
        <v>22760</v>
      </c>
      <c r="E167" s="89">
        <f>ROUND(VLOOKUP(A167,'Contribution Allocation_Report'!$A$9:$D$310,4,FALSE)*'OPEB Amounts_Report'!$E$323,0)</f>
        <v>311659</v>
      </c>
      <c r="F167" s="89">
        <f>INDEX('Change in Proportion Layers'!$Z$8:$Z$321,MATCH('OPEB Amounts_Report'!A167,'Change in Proportion Layers'!$A$8:$A$321,0))</f>
        <v>272254</v>
      </c>
      <c r="G167" s="89">
        <f t="shared" si="6"/>
        <v>606673</v>
      </c>
      <c r="H167" s="89"/>
      <c r="I167" s="89">
        <f>ROUND(VLOOKUP(A167,'Contribution Allocation_Report'!$A$9:$D$310,4,FALSE)*'OPEB Amounts_Report'!$I$323,0)</f>
        <v>248256</v>
      </c>
      <c r="J167" s="89">
        <f>ROUND(VLOOKUP(A167,'Contribution Allocation_Report'!$A$9:$D$310,4,FALSE)*'OPEB Amounts_Report'!$J$323,0)</f>
        <v>44620</v>
      </c>
      <c r="K167" s="89">
        <f>ROUND(VLOOKUP(A167,'Contribution Allocation_Report'!$A$9:$D$310,4,FALSE)*'OPEB Amounts_Report'!$K$323,0)</f>
        <v>562789</v>
      </c>
      <c r="L167" s="89">
        <f>INDEX('Change in Proportion Layers'!$AA$8:$AA$321,MATCH('OPEB Amounts_Report'!A167,'Change in Proportion Layers'!$A$8:$A$321,0))</f>
        <v>0</v>
      </c>
      <c r="M167" s="89">
        <f t="shared" si="7"/>
        <v>855665</v>
      </c>
      <c r="N167" s="90"/>
      <c r="O167" s="90">
        <f>ROUND(VLOOKUP(A167,'Contribution Allocation_Report'!$A$9:$D$310,4,FALSE)*'OPEB Amounts_Report'!$O$323,0)</f>
        <v>-167640</v>
      </c>
      <c r="P167" s="90">
        <f>INDEX('Change in Proportion Layers'!$X$8:$X$321,MATCH('OPEB Amounts_Report'!A167,'Change in Proportion Layers'!$A$8:$A$321,0))</f>
        <v>93277</v>
      </c>
      <c r="Q167" s="90">
        <f t="shared" si="8"/>
        <v>-74363</v>
      </c>
    </row>
    <row r="168" spans="1:17" ht="12" customHeight="1">
      <c r="A168" s="62">
        <v>2351</v>
      </c>
      <c r="B168" s="66" t="s">
        <v>157</v>
      </c>
      <c r="C168" s="70">
        <f>ROUND(VLOOKUP(A168,'Contribution Allocation_Report'!$A$9:$D$310,4,FALSE)*'OPEB Amounts_Report'!$C$323,0)</f>
        <v>1234210</v>
      </c>
      <c r="D168" s="70">
        <f>ROUND(VLOOKUP(A168,'Contribution Allocation_Report'!$A$9:$D$310,4,FALSE)*'OPEB Amounts_Report'!$D$323,0)</f>
        <v>18046</v>
      </c>
      <c r="E168" s="70">
        <f>ROUND(VLOOKUP(A168,'Contribution Allocation_Report'!$A$9:$D$310,4,FALSE)*'OPEB Amounts_Report'!$E$323,0)</f>
        <v>247100</v>
      </c>
      <c r="F168" s="70">
        <f>INDEX('Change in Proportion Layers'!$Z$8:$Z$321,MATCH('OPEB Amounts_Report'!A168,'Change in Proportion Layers'!$A$8:$A$321,0))</f>
        <v>96376</v>
      </c>
      <c r="G168" s="70">
        <f t="shared" si="6"/>
        <v>361522</v>
      </c>
      <c r="H168" s="70"/>
      <c r="I168" s="70">
        <f>ROUND(VLOOKUP(A168,'Contribution Allocation_Report'!$A$9:$D$310,4,FALSE)*'OPEB Amounts_Report'!$I$323,0)</f>
        <v>196831</v>
      </c>
      <c r="J168" s="70">
        <f>ROUND(VLOOKUP(A168,'Contribution Allocation_Report'!$A$9:$D$310,4,FALSE)*'OPEB Amounts_Report'!$J$323,0)</f>
        <v>35378</v>
      </c>
      <c r="K168" s="70">
        <f>ROUND(VLOOKUP(A168,'Contribution Allocation_Report'!$A$9:$D$310,4,FALSE)*'OPEB Amounts_Report'!$K$323,0)</f>
        <v>446211</v>
      </c>
      <c r="L168" s="70">
        <f>INDEX('Change in Proportion Layers'!$AA$8:$AA$321,MATCH('OPEB Amounts_Report'!A168,'Change in Proportion Layers'!$A$8:$A$321,0))</f>
        <v>40328</v>
      </c>
      <c r="M168" s="70">
        <f t="shared" si="7"/>
        <v>718748</v>
      </c>
      <c r="N168" s="71"/>
      <c r="O168" s="71">
        <f>ROUND(VLOOKUP(A168,'Contribution Allocation_Report'!$A$9:$D$310,4,FALSE)*'OPEB Amounts_Report'!$O$323,0)</f>
        <v>-132914</v>
      </c>
      <c r="P168" s="71">
        <f>INDEX('Change in Proportion Layers'!$X$8:$X$321,MATCH('OPEB Amounts_Report'!A168,'Change in Proportion Layers'!$A$8:$A$321,0))</f>
        <v>10750</v>
      </c>
      <c r="Q168" s="71">
        <f t="shared" si="8"/>
        <v>-122164</v>
      </c>
    </row>
    <row r="169" spans="1:17" ht="12" customHeight="1">
      <c r="A169" s="254">
        <v>2334</v>
      </c>
      <c r="B169" s="255" t="s">
        <v>158</v>
      </c>
      <c r="C169" s="89">
        <f>ROUND(VLOOKUP(A169,'Contribution Allocation_Report'!$A$9:$D$310,4,FALSE)*'OPEB Amounts_Report'!$C$323,0)</f>
        <v>886420</v>
      </c>
      <c r="D169" s="89">
        <f>ROUND(VLOOKUP(A169,'Contribution Allocation_Report'!$A$9:$D$310,4,FALSE)*'OPEB Amounts_Report'!$D$323,0)</f>
        <v>12961</v>
      </c>
      <c r="E169" s="89">
        <f>ROUND(VLOOKUP(A169,'Contribution Allocation_Report'!$A$9:$D$310,4,FALSE)*'OPEB Amounts_Report'!$E$323,0)</f>
        <v>177470</v>
      </c>
      <c r="F169" s="89">
        <f>INDEX('Change in Proportion Layers'!$Z$8:$Z$321,MATCH('OPEB Amounts_Report'!A169,'Change in Proportion Layers'!$A$8:$A$321,0))</f>
        <v>75952</v>
      </c>
      <c r="G169" s="89">
        <f t="shared" si="6"/>
        <v>266383</v>
      </c>
      <c r="H169" s="89"/>
      <c r="I169" s="89">
        <f>ROUND(VLOOKUP(A169,'Contribution Allocation_Report'!$A$9:$D$310,4,FALSE)*'OPEB Amounts_Report'!$I$323,0)</f>
        <v>141366</v>
      </c>
      <c r="J169" s="89">
        <f>ROUND(VLOOKUP(A169,'Contribution Allocation_Report'!$A$9:$D$310,4,FALSE)*'OPEB Amounts_Report'!$J$323,0)</f>
        <v>25408</v>
      </c>
      <c r="K169" s="89">
        <f>ROUND(VLOOKUP(A169,'Contribution Allocation_Report'!$A$9:$D$310,4,FALSE)*'OPEB Amounts_Report'!$K$323,0)</f>
        <v>320472</v>
      </c>
      <c r="L169" s="89">
        <f>INDEX('Change in Proportion Layers'!$AA$8:$AA$321,MATCH('OPEB Amounts_Report'!A169,'Change in Proportion Layers'!$A$8:$A$321,0))</f>
        <v>43963</v>
      </c>
      <c r="M169" s="89">
        <f t="shared" si="7"/>
        <v>531209</v>
      </c>
      <c r="N169" s="90"/>
      <c r="O169" s="90">
        <f>ROUND(VLOOKUP(A169,'Contribution Allocation_Report'!$A$9:$D$310,4,FALSE)*'OPEB Amounts_Report'!$O$323,0)</f>
        <v>-95460</v>
      </c>
      <c r="P169" s="90">
        <f>INDEX('Change in Proportion Layers'!$X$8:$X$321,MATCH('OPEB Amounts_Report'!A169,'Change in Proportion Layers'!$A$8:$A$321,0))</f>
        <v>17225</v>
      </c>
      <c r="Q169" s="90">
        <f t="shared" si="8"/>
        <v>-78235</v>
      </c>
    </row>
    <row r="170" spans="1:17" ht="12" customHeight="1">
      <c r="A170" s="62">
        <v>30089</v>
      </c>
      <c r="B170" s="66" t="s">
        <v>159</v>
      </c>
      <c r="C170" s="70">
        <f>ROUND(VLOOKUP(A170,'Contribution Allocation_Report'!$A$9:$D$310,4,FALSE)*'OPEB Amounts_Report'!$C$323,0)</f>
        <v>2702693</v>
      </c>
      <c r="D170" s="70">
        <f>ROUND(VLOOKUP(A170,'Contribution Allocation_Report'!$A$9:$D$310,4,FALSE)*'OPEB Amounts_Report'!$D$323,0)</f>
        <v>39517</v>
      </c>
      <c r="E170" s="70">
        <f>ROUND(VLOOKUP(A170,'Contribution Allocation_Report'!$A$9:$D$310,4,FALSE)*'OPEB Amounts_Report'!$E$323,0)</f>
        <v>541104</v>
      </c>
      <c r="F170" s="70">
        <f>INDEX('Change in Proportion Layers'!$Z$8:$Z$321,MATCH('OPEB Amounts_Report'!A170,'Change in Proportion Layers'!$A$8:$A$321,0))</f>
        <v>68644</v>
      </c>
      <c r="G170" s="70">
        <f t="shared" si="6"/>
        <v>649265</v>
      </c>
      <c r="H170" s="70"/>
      <c r="I170" s="70">
        <f>ROUND(VLOOKUP(A170,'Contribution Allocation_Report'!$A$9:$D$310,4,FALSE)*'OPEB Amounts_Report'!$I$323,0)</f>
        <v>431023</v>
      </c>
      <c r="J170" s="70">
        <f>ROUND(VLOOKUP(A170,'Contribution Allocation_Report'!$A$9:$D$310,4,FALSE)*'OPEB Amounts_Report'!$J$323,0)</f>
        <v>77470</v>
      </c>
      <c r="K170" s="70">
        <f>ROUND(VLOOKUP(A170,'Contribution Allocation_Report'!$A$9:$D$310,4,FALSE)*'OPEB Amounts_Report'!$K$323,0)</f>
        <v>977119</v>
      </c>
      <c r="L170" s="296">
        <f>INDEX('Change in Proportion Layers'!$AA$8:$AA$321,MATCH('OPEB Amounts_Report'!A170,'Change in Proportion Layers'!$A$8:$A$321,0))</f>
        <v>290038</v>
      </c>
      <c r="M170" s="70">
        <f t="shared" si="7"/>
        <v>1775650</v>
      </c>
      <c r="N170" s="71"/>
      <c r="O170" s="71">
        <f>ROUND(VLOOKUP(A170,'Contribution Allocation_Report'!$A$9:$D$310,4,FALSE)*'OPEB Amounts_Report'!$O$323,0)</f>
        <v>-291057</v>
      </c>
      <c r="P170" s="71">
        <f>INDEX('Change in Proportion Layers'!$X$8:$X$321,MATCH('OPEB Amounts_Report'!A170,'Change in Proportion Layers'!$A$8:$A$321,0))</f>
        <v>-46718</v>
      </c>
      <c r="Q170" s="71">
        <f t="shared" si="8"/>
        <v>-337775</v>
      </c>
    </row>
    <row r="171" spans="1:17" ht="12" customHeight="1">
      <c r="A171" s="254">
        <v>9324</v>
      </c>
      <c r="B171" s="255" t="s">
        <v>160</v>
      </c>
      <c r="C171" s="89">
        <f>ROUND(VLOOKUP(A171,'Contribution Allocation_Report'!$A$9:$D$310,4,FALSE)*'OPEB Amounts_Report'!$C$323,0)</f>
        <v>390565</v>
      </c>
      <c r="D171" s="89">
        <f>ROUND(VLOOKUP(A171,'Contribution Allocation_Report'!$A$9:$D$310,4,FALSE)*'OPEB Amounts_Report'!$D$323,0)</f>
        <v>5711</v>
      </c>
      <c r="E171" s="89">
        <f>ROUND(VLOOKUP(A171,'Contribution Allocation_Report'!$A$9:$D$310,4,FALSE)*'OPEB Amounts_Report'!$E$323,0)</f>
        <v>78195</v>
      </c>
      <c r="F171" s="89">
        <f>INDEX('Change in Proportion Layers'!$Z$8:$Z$321,MATCH('OPEB Amounts_Report'!A171,'Change in Proportion Layers'!$A$8:$A$321,0))</f>
        <v>103532</v>
      </c>
      <c r="G171" s="89">
        <f t="shared" si="6"/>
        <v>187438</v>
      </c>
      <c r="H171" s="89"/>
      <c r="I171" s="89">
        <f>ROUND(VLOOKUP(A171,'Contribution Allocation_Report'!$A$9:$D$310,4,FALSE)*'OPEB Amounts_Report'!$I$323,0)</f>
        <v>62287</v>
      </c>
      <c r="J171" s="89">
        <f>ROUND(VLOOKUP(A171,'Contribution Allocation_Report'!$A$9:$D$310,4,FALSE)*'OPEB Amounts_Report'!$J$323,0)</f>
        <v>11195</v>
      </c>
      <c r="K171" s="89">
        <f>ROUND(VLOOKUP(A171,'Contribution Allocation_Report'!$A$9:$D$310,4,FALSE)*'OPEB Amounts_Report'!$K$323,0)</f>
        <v>141203</v>
      </c>
      <c r="L171" s="89">
        <f>INDEX('Change in Proportion Layers'!$AA$8:$AA$321,MATCH('OPEB Amounts_Report'!A171,'Change in Proportion Layers'!$A$8:$A$321,0))</f>
        <v>18567</v>
      </c>
      <c r="M171" s="89">
        <f t="shared" si="7"/>
        <v>233252</v>
      </c>
      <c r="N171" s="90"/>
      <c r="O171" s="90">
        <f>ROUND(VLOOKUP(A171,'Contribution Allocation_Report'!$A$9:$D$310,4,FALSE)*'OPEB Amounts_Report'!$O$323,0)</f>
        <v>-42061</v>
      </c>
      <c r="P171" s="90">
        <f>INDEX('Change in Proportion Layers'!$X$8:$X$321,MATCH('OPEB Amounts_Report'!A171,'Change in Proportion Layers'!$A$8:$A$321,0))</f>
        <v>17707</v>
      </c>
      <c r="Q171" s="90">
        <f t="shared" si="8"/>
        <v>-24354</v>
      </c>
    </row>
    <row r="172" spans="1:17" ht="12" customHeight="1">
      <c r="A172" s="62">
        <v>22066</v>
      </c>
      <c r="B172" s="66" t="s">
        <v>161</v>
      </c>
      <c r="C172" s="70">
        <f>ROUND(VLOOKUP(A172,'Contribution Allocation_Report'!$A$9:$D$310,4,FALSE)*'OPEB Amounts_Report'!$C$323,0)</f>
        <v>10416918</v>
      </c>
      <c r="D172" s="70">
        <f>ROUND(VLOOKUP(A172,'Contribution Allocation_Report'!$A$9:$D$310,4,FALSE)*'OPEB Amounts_Report'!$D$323,0)</f>
        <v>152309</v>
      </c>
      <c r="E172" s="70">
        <f>ROUND(VLOOKUP(A172,'Contribution Allocation_Report'!$A$9:$D$310,4,FALSE)*'OPEB Amounts_Report'!$E$323,0)</f>
        <v>2085564</v>
      </c>
      <c r="F172" s="70">
        <f>INDEX('Change in Proportion Layers'!$Z$8:$Z$321,MATCH('OPEB Amounts_Report'!A172,'Change in Proportion Layers'!$A$8:$A$321,0))</f>
        <v>635239</v>
      </c>
      <c r="G172" s="70">
        <f t="shared" si="6"/>
        <v>2873112</v>
      </c>
      <c r="H172" s="70"/>
      <c r="I172" s="70">
        <f>ROUND(VLOOKUP(A172,'Contribution Allocation_Report'!$A$9:$D$310,4,FALSE)*'OPEB Amounts_Report'!$I$323,0)</f>
        <v>1661282</v>
      </c>
      <c r="J172" s="70">
        <f>ROUND(VLOOKUP(A172,'Contribution Allocation_Report'!$A$9:$D$310,4,FALSE)*'OPEB Amounts_Report'!$J$323,0)</f>
        <v>298592</v>
      </c>
      <c r="K172" s="70">
        <f>ROUND(VLOOKUP(A172,'Contribution Allocation_Report'!$A$9:$D$310,4,FALSE)*'OPEB Amounts_Report'!$K$323,0)</f>
        <v>3766085</v>
      </c>
      <c r="L172" s="296">
        <f>INDEX('Change in Proportion Layers'!$AA$8:$AA$321,MATCH('OPEB Amounts_Report'!A172,'Change in Proportion Layers'!$A$8:$A$321,0))</f>
        <v>403261</v>
      </c>
      <c r="M172" s="70">
        <f t="shared" si="7"/>
        <v>6129220</v>
      </c>
      <c r="N172" s="71"/>
      <c r="O172" s="71">
        <f>ROUND(VLOOKUP(A172,'Contribution Allocation_Report'!$A$9:$D$310,4,FALSE)*'OPEB Amounts_Report'!$O$323,0)</f>
        <v>-1121815</v>
      </c>
      <c r="P172" s="71">
        <f>INDEX('Change in Proportion Layers'!$X$8:$X$321,MATCH('OPEB Amounts_Report'!A172,'Change in Proportion Layers'!$A$8:$A$321,0))</f>
        <v>-35294</v>
      </c>
      <c r="Q172" s="71">
        <f t="shared" si="8"/>
        <v>-1157109</v>
      </c>
    </row>
    <row r="173" spans="1:17" ht="12" customHeight="1">
      <c r="A173" s="254">
        <v>16356</v>
      </c>
      <c r="B173" s="255" t="s">
        <v>162</v>
      </c>
      <c r="C173" s="89">
        <f>ROUND(VLOOKUP(A173,'Contribution Allocation_Report'!$A$9:$D$310,4,FALSE)*'OPEB Amounts_Report'!$C$323,0)</f>
        <v>648857</v>
      </c>
      <c r="D173" s="89">
        <f>ROUND(VLOOKUP(A173,'Contribution Allocation_Report'!$A$9:$D$310,4,FALSE)*'OPEB Amounts_Report'!$D$323,0)</f>
        <v>9487</v>
      </c>
      <c r="E173" s="89">
        <f>ROUND(VLOOKUP(A173,'Contribution Allocation_Report'!$A$9:$D$310,4,FALSE)*'OPEB Amounts_Report'!$E$323,0)</f>
        <v>129907</v>
      </c>
      <c r="F173" s="297">
        <f>INDEX('Change in Proportion Layers'!$Z$8:$Z$321,MATCH('OPEB Amounts_Report'!A173,'Change in Proportion Layers'!$A$8:$A$321,0))</f>
        <v>97478</v>
      </c>
      <c r="G173" s="89">
        <f t="shared" si="6"/>
        <v>236872</v>
      </c>
      <c r="H173" s="89"/>
      <c r="I173" s="89">
        <f>ROUND(VLOOKUP(A173,'Contribution Allocation_Report'!$A$9:$D$310,4,FALSE)*'OPEB Amounts_Report'!$I$323,0)</f>
        <v>103479</v>
      </c>
      <c r="J173" s="89">
        <f>ROUND(VLOOKUP(A173,'Contribution Allocation_Report'!$A$9:$D$310,4,FALSE)*'OPEB Amounts_Report'!$J$323,0)</f>
        <v>18599</v>
      </c>
      <c r="K173" s="89">
        <f>ROUND(VLOOKUP(A173,'Contribution Allocation_Report'!$A$9:$D$310,4,FALSE)*'OPEB Amounts_Report'!$K$323,0)</f>
        <v>234585</v>
      </c>
      <c r="L173" s="89">
        <f>INDEX('Change in Proportion Layers'!$AA$8:$AA$321,MATCH('OPEB Amounts_Report'!A173,'Change in Proportion Layers'!$A$8:$A$321,0))</f>
        <v>32016</v>
      </c>
      <c r="M173" s="89">
        <f t="shared" si="7"/>
        <v>388679</v>
      </c>
      <c r="N173" s="90"/>
      <c r="O173" s="90">
        <f>ROUND(VLOOKUP(A173,'Contribution Allocation_Report'!$A$9:$D$310,4,FALSE)*'OPEB Amounts_Report'!$O$323,0)</f>
        <v>-69876</v>
      </c>
      <c r="P173" s="90">
        <f>INDEX('Change in Proportion Layers'!$X$8:$X$321,MATCH('OPEB Amounts_Report'!A173,'Change in Proportion Layers'!$A$8:$A$321,0))</f>
        <v>13949</v>
      </c>
      <c r="Q173" s="90">
        <f t="shared" si="8"/>
        <v>-55927</v>
      </c>
    </row>
    <row r="174" spans="1:17" ht="12" customHeight="1">
      <c r="A174" s="62">
        <v>31091</v>
      </c>
      <c r="B174" s="66" t="s">
        <v>163</v>
      </c>
      <c r="C174" s="70">
        <f>ROUND(VLOOKUP(A174,'Contribution Allocation_Report'!$A$9:$D$310,4,FALSE)*'OPEB Amounts_Report'!$C$323,0)</f>
        <v>616941</v>
      </c>
      <c r="D174" s="70">
        <f>ROUND(VLOOKUP(A174,'Contribution Allocation_Report'!$A$9:$D$310,4,FALSE)*'OPEB Amounts_Report'!$D$323,0)</f>
        <v>9020</v>
      </c>
      <c r="E174" s="70">
        <f>ROUND(VLOOKUP(A174,'Contribution Allocation_Report'!$A$9:$D$310,4,FALSE)*'OPEB Amounts_Report'!$E$323,0)</f>
        <v>123517</v>
      </c>
      <c r="F174" s="70">
        <f>INDEX('Change in Proportion Layers'!$Z$8:$Z$321,MATCH('OPEB Amounts_Report'!A174,'Change in Proportion Layers'!$A$8:$A$321,0))</f>
        <v>193675</v>
      </c>
      <c r="G174" s="70">
        <f t="shared" si="6"/>
        <v>326212</v>
      </c>
      <c r="H174" s="70"/>
      <c r="I174" s="70">
        <f>ROUND(VLOOKUP(A174,'Contribution Allocation_Report'!$A$9:$D$310,4,FALSE)*'OPEB Amounts_Report'!$I$323,0)</f>
        <v>98389</v>
      </c>
      <c r="J174" s="70">
        <f>ROUND(VLOOKUP(A174,'Contribution Allocation_Report'!$A$9:$D$310,4,FALSE)*'OPEB Amounts_Report'!$J$323,0)</f>
        <v>17684</v>
      </c>
      <c r="K174" s="70">
        <f>ROUND(VLOOKUP(A174,'Contribution Allocation_Report'!$A$9:$D$310,4,FALSE)*'OPEB Amounts_Report'!$K$323,0)</f>
        <v>223046</v>
      </c>
      <c r="L174" s="296">
        <f>INDEX('Change in Proportion Layers'!$AA$8:$AA$321,MATCH('OPEB Amounts_Report'!A174,'Change in Proportion Layers'!$A$8:$A$321,0))</f>
        <v>83012</v>
      </c>
      <c r="M174" s="70">
        <f t="shared" si="7"/>
        <v>422131</v>
      </c>
      <c r="N174" s="71"/>
      <c r="O174" s="71">
        <f>ROUND(VLOOKUP(A174,'Contribution Allocation_Report'!$A$9:$D$310,4,FALSE)*'OPEB Amounts_Report'!$O$323,0)</f>
        <v>-66439</v>
      </c>
      <c r="P174" s="71">
        <f>INDEX('Change in Proportion Layers'!$X$8:$X$321,MATCH('OPEB Amounts_Report'!A174,'Change in Proportion Layers'!$A$8:$A$321,0))</f>
        <v>12960</v>
      </c>
      <c r="Q174" s="71">
        <f t="shared" si="8"/>
        <v>-53479</v>
      </c>
    </row>
    <row r="175" spans="1:17" ht="12" customHeight="1">
      <c r="A175" s="254">
        <v>2342</v>
      </c>
      <c r="B175" s="255" t="s">
        <v>164</v>
      </c>
      <c r="C175" s="89">
        <f>ROUND(VLOOKUP(A175,'Contribution Allocation_Report'!$A$9:$D$310,4,FALSE)*'OPEB Amounts_Report'!$C$323,0)</f>
        <v>981182</v>
      </c>
      <c r="D175" s="89">
        <f>ROUND(VLOOKUP(A175,'Contribution Allocation_Report'!$A$9:$D$310,4,FALSE)*'OPEB Amounts_Report'!$D$323,0)</f>
        <v>14346</v>
      </c>
      <c r="E175" s="89">
        <f>ROUND(VLOOKUP(A175,'Contribution Allocation_Report'!$A$9:$D$310,4,FALSE)*'OPEB Amounts_Report'!$E$323,0)</f>
        <v>196442</v>
      </c>
      <c r="F175" s="297">
        <f>INDEX('Change in Proportion Layers'!$Z$8:$Z$321,MATCH('OPEB Amounts_Report'!A175,'Change in Proportion Layers'!$A$8:$A$321,0))</f>
        <v>220004</v>
      </c>
      <c r="G175" s="89">
        <f t="shared" si="6"/>
        <v>430792</v>
      </c>
      <c r="H175" s="89"/>
      <c r="I175" s="89">
        <f>ROUND(VLOOKUP(A175,'Contribution Allocation_Report'!$A$9:$D$310,4,FALSE)*'OPEB Amounts_Report'!$I$323,0)</f>
        <v>156478</v>
      </c>
      <c r="J175" s="89">
        <f>ROUND(VLOOKUP(A175,'Contribution Allocation_Report'!$A$9:$D$310,4,FALSE)*'OPEB Amounts_Report'!$J$323,0)</f>
        <v>28125</v>
      </c>
      <c r="K175" s="89">
        <f>ROUND(VLOOKUP(A175,'Contribution Allocation_Report'!$A$9:$D$310,4,FALSE)*'OPEB Amounts_Report'!$K$323,0)</f>
        <v>354732</v>
      </c>
      <c r="L175" s="89">
        <f>INDEX('Change in Proportion Layers'!$AA$8:$AA$321,MATCH('OPEB Amounts_Report'!A175,'Change in Proportion Layers'!$A$8:$A$321,0))</f>
        <v>0</v>
      </c>
      <c r="M175" s="89">
        <f t="shared" si="7"/>
        <v>539335</v>
      </c>
      <c r="N175" s="90"/>
      <c r="O175" s="90">
        <f>ROUND(VLOOKUP(A175,'Contribution Allocation_Report'!$A$9:$D$310,4,FALSE)*'OPEB Amounts_Report'!$O$323,0)</f>
        <v>-105665</v>
      </c>
      <c r="P175" s="90">
        <f>INDEX('Change in Proportion Layers'!$X$8:$X$321,MATCH('OPEB Amounts_Report'!A175,'Change in Proportion Layers'!$A$8:$A$321,0))</f>
        <v>47424</v>
      </c>
      <c r="Q175" s="90">
        <f t="shared" si="8"/>
        <v>-58241</v>
      </c>
    </row>
    <row r="176" spans="1:17" ht="12" customHeight="1">
      <c r="A176" s="62">
        <v>22067</v>
      </c>
      <c r="B176" s="66" t="s">
        <v>165</v>
      </c>
      <c r="C176" s="70">
        <f>ROUND(VLOOKUP(A176,'Contribution Allocation_Report'!$A$9:$D$310,4,FALSE)*'OPEB Amounts_Report'!$C$323,0)</f>
        <v>1451373</v>
      </c>
      <c r="D176" s="70">
        <f>ROUND(VLOOKUP(A176,'Contribution Allocation_Report'!$A$9:$D$310,4,FALSE)*'OPEB Amounts_Report'!$D$323,0)</f>
        <v>21221</v>
      </c>
      <c r="E176" s="70">
        <f>ROUND(VLOOKUP(A176,'Contribution Allocation_Report'!$A$9:$D$310,4,FALSE)*'OPEB Amounts_Report'!$E$323,0)</f>
        <v>290578</v>
      </c>
      <c r="F176" s="70">
        <f>INDEX('Change in Proportion Layers'!$Z$8:$Z$321,MATCH('OPEB Amounts_Report'!A176,'Change in Proportion Layers'!$A$8:$A$321,0))</f>
        <v>400505</v>
      </c>
      <c r="G176" s="70">
        <f t="shared" si="6"/>
        <v>712304</v>
      </c>
      <c r="H176" s="70"/>
      <c r="I176" s="70">
        <f>ROUND(VLOOKUP(A176,'Contribution Allocation_Report'!$A$9:$D$310,4,FALSE)*'OPEB Amounts_Report'!$I$323,0)</f>
        <v>231464</v>
      </c>
      <c r="J176" s="70">
        <f>ROUND(VLOOKUP(A176,'Contribution Allocation_Report'!$A$9:$D$310,4,FALSE)*'OPEB Amounts_Report'!$J$323,0)</f>
        <v>41602</v>
      </c>
      <c r="K176" s="70">
        <f>ROUND(VLOOKUP(A176,'Contribution Allocation_Report'!$A$9:$D$310,4,FALSE)*'OPEB Amounts_Report'!$K$323,0)</f>
        <v>524723</v>
      </c>
      <c r="L176" s="70">
        <f>INDEX('Change in Proportion Layers'!$AA$8:$AA$321,MATCH('OPEB Amounts_Report'!A176,'Change in Proportion Layers'!$A$8:$A$321,0))</f>
        <v>352244</v>
      </c>
      <c r="M176" s="70">
        <f t="shared" si="7"/>
        <v>1150033</v>
      </c>
      <c r="N176" s="71"/>
      <c r="O176" s="71">
        <f>ROUND(VLOOKUP(A176,'Contribution Allocation_Report'!$A$9:$D$310,4,FALSE)*'OPEB Amounts_Report'!$O$323,0)</f>
        <v>-156301</v>
      </c>
      <c r="P176" s="71">
        <f>INDEX('Change in Proportion Layers'!$X$8:$X$321,MATCH('OPEB Amounts_Report'!A176,'Change in Proportion Layers'!$A$8:$A$321,0))</f>
        <v>15780</v>
      </c>
      <c r="Q176" s="71">
        <f t="shared" si="8"/>
        <v>-140521</v>
      </c>
    </row>
    <row r="177" spans="1:17" ht="12" customHeight="1">
      <c r="A177" s="254">
        <v>32112</v>
      </c>
      <c r="B177" s="255" t="s">
        <v>166</v>
      </c>
      <c r="C177" s="89">
        <f>ROUND(VLOOKUP(A177,'Contribution Allocation_Report'!$A$9:$D$310,4,FALSE)*'OPEB Amounts_Report'!$C$323,0)</f>
        <v>857465</v>
      </c>
      <c r="D177" s="89">
        <f>ROUND(VLOOKUP(A177,'Contribution Allocation_Report'!$A$9:$D$310,4,FALSE)*'OPEB Amounts_Report'!$D$323,0)</f>
        <v>12537</v>
      </c>
      <c r="E177" s="89">
        <f>ROUND(VLOOKUP(A177,'Contribution Allocation_Report'!$A$9:$D$310,4,FALSE)*'OPEB Amounts_Report'!$E$323,0)</f>
        <v>171672</v>
      </c>
      <c r="F177" s="89">
        <f>INDEX('Change in Proportion Layers'!$Z$8:$Z$321,MATCH('OPEB Amounts_Report'!A177,'Change in Proportion Layers'!$A$8:$A$321,0))</f>
        <v>51222</v>
      </c>
      <c r="G177" s="89">
        <f t="shared" si="6"/>
        <v>235431</v>
      </c>
      <c r="H177" s="89"/>
      <c r="I177" s="89">
        <f>ROUND(VLOOKUP(A177,'Contribution Allocation_Report'!$A$9:$D$310,4,FALSE)*'OPEB Amounts_Report'!$I$323,0)</f>
        <v>136748</v>
      </c>
      <c r="J177" s="89">
        <f>ROUND(VLOOKUP(A177,'Contribution Allocation_Report'!$A$9:$D$310,4,FALSE)*'OPEB Amounts_Report'!$J$323,0)</f>
        <v>24579</v>
      </c>
      <c r="K177" s="89">
        <f>ROUND(VLOOKUP(A177,'Contribution Allocation_Report'!$A$9:$D$310,4,FALSE)*'OPEB Amounts_Report'!$K$323,0)</f>
        <v>310004</v>
      </c>
      <c r="L177" s="89">
        <f>INDEX('Change in Proportion Layers'!$AA$8:$AA$321,MATCH('OPEB Amounts_Report'!A177,'Change in Proportion Layers'!$A$8:$A$321,0))</f>
        <v>75144</v>
      </c>
      <c r="M177" s="89">
        <f t="shared" si="7"/>
        <v>546475</v>
      </c>
      <c r="N177" s="90"/>
      <c r="O177" s="90">
        <f>ROUND(VLOOKUP(A177,'Contribution Allocation_Report'!$A$9:$D$310,4,FALSE)*'OPEB Amounts_Report'!$O$323,0)</f>
        <v>-92342</v>
      </c>
      <c r="P177" s="90">
        <f>INDEX('Change in Proportion Layers'!$X$8:$X$321,MATCH('OPEB Amounts_Report'!A177,'Change in Proportion Layers'!$A$8:$A$321,0))</f>
        <v>-18231</v>
      </c>
      <c r="Q177" s="90">
        <f t="shared" si="8"/>
        <v>-110573</v>
      </c>
    </row>
    <row r="178" spans="1:17" ht="12" customHeight="1">
      <c r="A178" s="62">
        <v>2354</v>
      </c>
      <c r="B178" s="66" t="s">
        <v>167</v>
      </c>
      <c r="C178" s="70">
        <f>ROUND(VLOOKUP(A178,'Contribution Allocation_Report'!$A$9:$D$310,4,FALSE)*'OPEB Amounts_Report'!$C$323,0)</f>
        <v>2236451</v>
      </c>
      <c r="D178" s="70">
        <f>ROUND(VLOOKUP(A178,'Contribution Allocation_Report'!$A$9:$D$310,4,FALSE)*'OPEB Amounts_Report'!$D$323,0)</f>
        <v>32700</v>
      </c>
      <c r="E178" s="70">
        <f>ROUND(VLOOKUP(A178,'Contribution Allocation_Report'!$A$9:$D$310,4,FALSE)*'OPEB Amounts_Report'!$E$323,0)</f>
        <v>447758</v>
      </c>
      <c r="F178" s="70">
        <f>INDEX('Change in Proportion Layers'!$Z$8:$Z$321,MATCH('OPEB Amounts_Report'!A178,'Change in Proportion Layers'!$A$8:$A$321,0))</f>
        <v>82287</v>
      </c>
      <c r="G178" s="70">
        <f t="shared" si="6"/>
        <v>562745</v>
      </c>
      <c r="H178" s="70"/>
      <c r="I178" s="70">
        <f>ROUND(VLOOKUP(A178,'Contribution Allocation_Report'!$A$9:$D$310,4,FALSE)*'OPEB Amounts_Report'!$I$323,0)</f>
        <v>356667</v>
      </c>
      <c r="J178" s="70">
        <f>ROUND(VLOOKUP(A178,'Contribution Allocation_Report'!$A$9:$D$310,4,FALSE)*'OPEB Amounts_Report'!$J$323,0)</f>
        <v>64106</v>
      </c>
      <c r="K178" s="70">
        <f>ROUND(VLOOKUP(A178,'Contribution Allocation_Report'!$A$9:$D$310,4,FALSE)*'OPEB Amounts_Report'!$K$323,0)</f>
        <v>808556</v>
      </c>
      <c r="L178" s="70">
        <f>INDEX('Change in Proportion Layers'!$AA$8:$AA$321,MATCH('OPEB Amounts_Report'!A178,'Change in Proportion Layers'!$A$8:$A$321,0))</f>
        <v>32079</v>
      </c>
      <c r="M178" s="70">
        <f t="shared" si="7"/>
        <v>1261408</v>
      </c>
      <c r="N178" s="71"/>
      <c r="O178" s="71">
        <f>ROUND(VLOOKUP(A178,'Contribution Allocation_Report'!$A$9:$D$310,4,FALSE)*'OPEB Amounts_Report'!$O$323,0)</f>
        <v>-240847</v>
      </c>
      <c r="P178" s="71">
        <f>INDEX('Change in Proportion Layers'!$X$8:$X$321,MATCH('OPEB Amounts_Report'!A178,'Change in Proportion Layers'!$A$8:$A$321,0))</f>
        <v>34672</v>
      </c>
      <c r="Q178" s="71">
        <f t="shared" si="8"/>
        <v>-206175</v>
      </c>
    </row>
    <row r="179" spans="1:17" ht="12" customHeight="1">
      <c r="A179" s="254">
        <v>2148</v>
      </c>
      <c r="B179" s="255" t="s">
        <v>168</v>
      </c>
      <c r="C179" s="89">
        <f>ROUND(VLOOKUP(A179,'Contribution Allocation_Report'!$A$9:$D$310,4,FALSE)*'OPEB Amounts_Report'!$C$323,0)</f>
        <v>796923</v>
      </c>
      <c r="D179" s="89">
        <f>ROUND(VLOOKUP(A179,'Contribution Allocation_Report'!$A$9:$D$310,4,FALSE)*'OPEB Amounts_Report'!$D$323,0)</f>
        <v>11652</v>
      </c>
      <c r="E179" s="89">
        <f>ROUND(VLOOKUP(A179,'Contribution Allocation_Report'!$A$9:$D$310,4,FALSE)*'OPEB Amounts_Report'!$E$323,0)</f>
        <v>159551</v>
      </c>
      <c r="F179" s="89">
        <f>INDEX('Change in Proportion Layers'!$Z$8:$Z$321,MATCH('OPEB Amounts_Report'!A179,'Change in Proportion Layers'!$A$8:$A$321,0))</f>
        <v>15625</v>
      </c>
      <c r="G179" s="89">
        <f t="shared" si="6"/>
        <v>186828</v>
      </c>
      <c r="H179" s="89"/>
      <c r="I179" s="89">
        <f>ROUND(VLOOKUP(A179,'Contribution Allocation_Report'!$A$9:$D$310,4,FALSE)*'OPEB Amounts_Report'!$I$323,0)</f>
        <v>127093</v>
      </c>
      <c r="J179" s="89">
        <f>ROUND(VLOOKUP(A179,'Contribution Allocation_Report'!$A$9:$D$310,4,FALSE)*'OPEB Amounts_Report'!$J$323,0)</f>
        <v>22843</v>
      </c>
      <c r="K179" s="89">
        <f>ROUND(VLOOKUP(A179,'Contribution Allocation_Report'!$A$9:$D$310,4,FALSE)*'OPEB Amounts_Report'!$K$323,0)</f>
        <v>288116</v>
      </c>
      <c r="L179" s="89">
        <f>INDEX('Change in Proportion Layers'!$AA$8:$AA$321,MATCH('OPEB Amounts_Report'!A179,'Change in Proportion Layers'!$A$8:$A$321,0))</f>
        <v>57229</v>
      </c>
      <c r="M179" s="89">
        <f t="shared" si="7"/>
        <v>495281</v>
      </c>
      <c r="N179" s="90"/>
      <c r="O179" s="90">
        <f>ROUND(VLOOKUP(A179,'Contribution Allocation_Report'!$A$9:$D$310,4,FALSE)*'OPEB Amounts_Report'!$O$323,0)</f>
        <v>-85822</v>
      </c>
      <c r="P179" s="90">
        <f>INDEX('Change in Proportion Layers'!$X$8:$X$321,MATCH('OPEB Amounts_Report'!A179,'Change in Proportion Layers'!$A$8:$A$321,0))</f>
        <v>-13170</v>
      </c>
      <c r="Q179" s="90">
        <f t="shared" si="8"/>
        <v>-98992</v>
      </c>
    </row>
    <row r="180" spans="1:17" ht="12" customHeight="1">
      <c r="A180" s="62">
        <v>1418</v>
      </c>
      <c r="B180" s="66" t="s">
        <v>169</v>
      </c>
      <c r="C180" s="70">
        <f>ROUND(VLOOKUP(A180,'Contribution Allocation_Report'!$A$9:$D$310,4,FALSE)*'OPEB Amounts_Report'!$C$323,0)</f>
        <v>3074503</v>
      </c>
      <c r="D180" s="70">
        <f>ROUND(VLOOKUP(A180,'Contribution Allocation_Report'!$A$9:$D$310,4,FALSE)*'OPEB Amounts_Report'!$D$323,0)</f>
        <v>44953</v>
      </c>
      <c r="E180" s="70">
        <f>ROUND(VLOOKUP(A180,'Contribution Allocation_Report'!$A$9:$D$310,4,FALSE)*'OPEB Amounts_Report'!$E$323,0)</f>
        <v>615544</v>
      </c>
      <c r="F180" s="70">
        <f>INDEX('Change in Proportion Layers'!$Z$8:$Z$321,MATCH('OPEB Amounts_Report'!A180,'Change in Proportion Layers'!$A$8:$A$321,0))</f>
        <v>1711500</v>
      </c>
      <c r="G180" s="70">
        <f t="shared" si="6"/>
        <v>2371997</v>
      </c>
      <c r="H180" s="70"/>
      <c r="I180" s="70">
        <f>ROUND(VLOOKUP(A180,'Contribution Allocation_Report'!$A$9:$D$310,4,FALSE)*'OPEB Amounts_Report'!$I$323,0)</f>
        <v>490319</v>
      </c>
      <c r="J180" s="70">
        <f>ROUND(VLOOKUP(A180,'Contribution Allocation_Report'!$A$9:$D$310,4,FALSE)*'OPEB Amounts_Report'!$J$323,0)</f>
        <v>88128</v>
      </c>
      <c r="K180" s="70">
        <f>ROUND(VLOOKUP(A180,'Contribution Allocation_Report'!$A$9:$D$310,4,FALSE)*'OPEB Amounts_Report'!$K$323,0)</f>
        <v>1111542</v>
      </c>
      <c r="L180" s="70">
        <f>INDEX('Change in Proportion Layers'!$AA$8:$AA$321,MATCH('OPEB Amounts_Report'!A180,'Change in Proportion Layers'!$A$8:$A$321,0))</f>
        <v>566305</v>
      </c>
      <c r="M180" s="70">
        <f t="shared" si="7"/>
        <v>2256294</v>
      </c>
      <c r="N180" s="71"/>
      <c r="O180" s="71">
        <f>ROUND(VLOOKUP(A180,'Contribution Allocation_Report'!$A$9:$D$310,4,FALSE)*'OPEB Amounts_Report'!$O$323,0)</f>
        <v>-331098</v>
      </c>
      <c r="P180" s="71">
        <f>INDEX('Change in Proportion Layers'!$X$8:$X$321,MATCH('OPEB Amounts_Report'!A180,'Change in Proportion Layers'!$A$8:$A$321,0))</f>
        <v>230382</v>
      </c>
      <c r="Q180" s="71">
        <f t="shared" si="8"/>
        <v>-100716</v>
      </c>
    </row>
    <row r="181" spans="1:17" ht="12" customHeight="1">
      <c r="A181" s="254">
        <v>12102</v>
      </c>
      <c r="B181" s="255" t="s">
        <v>170</v>
      </c>
      <c r="C181" s="89">
        <f>ROUND(VLOOKUP(A181,'Contribution Allocation_Report'!$A$9:$D$310,4,FALSE)*'OPEB Amounts_Report'!$C$323,0)</f>
        <v>17423389</v>
      </c>
      <c r="D181" s="89">
        <f>ROUND(VLOOKUP(A181,'Contribution Allocation_Report'!$A$9:$D$310,4,FALSE)*'OPEB Amounts_Report'!$D$323,0)</f>
        <v>254753</v>
      </c>
      <c r="E181" s="89">
        <f>ROUND(VLOOKUP(A181,'Contribution Allocation_Report'!$A$9:$D$310,4,FALSE)*'OPEB Amounts_Report'!$E$323,0)</f>
        <v>3488324</v>
      </c>
      <c r="F181" s="89">
        <f>INDEX('Change in Proportion Layers'!$Z$8:$Z$321,MATCH('OPEB Amounts_Report'!A181,'Change in Proportion Layers'!$A$8:$A$321,0))</f>
        <v>1517722</v>
      </c>
      <c r="G181" s="89">
        <f t="shared" si="6"/>
        <v>5260799</v>
      </c>
      <c r="H181" s="89"/>
      <c r="I181" s="89">
        <f>ROUND(VLOOKUP(A181,'Contribution Allocation_Report'!$A$9:$D$310,4,FALSE)*'OPEB Amounts_Report'!$I$323,0)</f>
        <v>2778668</v>
      </c>
      <c r="J181" s="89">
        <f>ROUND(VLOOKUP(A181,'Contribution Allocation_Report'!$A$9:$D$310,4,FALSE)*'OPEB Amounts_Report'!$J$323,0)</f>
        <v>499427</v>
      </c>
      <c r="K181" s="89">
        <f>ROUND(VLOOKUP(A181,'Contribution Allocation_Report'!$A$9:$D$310,4,FALSE)*'OPEB Amounts_Report'!$K$323,0)</f>
        <v>6299173</v>
      </c>
      <c r="L181" s="297">
        <f>INDEX('Change in Proportion Layers'!$AA$8:$AA$321,MATCH('OPEB Amounts_Report'!A181,'Change in Proportion Layers'!$A$8:$A$321,0))</f>
        <v>2056826</v>
      </c>
      <c r="M181" s="89">
        <f t="shared" si="7"/>
        <v>11634094</v>
      </c>
      <c r="N181" s="90"/>
      <c r="O181" s="90">
        <f>ROUND(VLOOKUP(A181,'Contribution Allocation_Report'!$A$9:$D$310,4,FALSE)*'OPEB Amounts_Report'!$O$323,0)</f>
        <v>-1876353</v>
      </c>
      <c r="P181" s="90">
        <f>INDEX('Change in Proportion Layers'!$X$8:$X$321,MATCH('OPEB Amounts_Report'!A181,'Change in Proportion Layers'!$A$8:$A$321,0))</f>
        <v>-420668</v>
      </c>
      <c r="Q181" s="90">
        <f t="shared" si="8"/>
        <v>-2297021</v>
      </c>
    </row>
    <row r="182" spans="1:17" ht="12" customHeight="1">
      <c r="A182" s="62">
        <v>2414</v>
      </c>
      <c r="B182" s="66" t="s">
        <v>171</v>
      </c>
      <c r="C182" s="70">
        <f>ROUND(VLOOKUP(A182,'Contribution Allocation_Report'!$A$9:$D$310,4,FALSE)*'OPEB Amounts_Report'!$C$323,0)</f>
        <v>1321734</v>
      </c>
      <c r="D182" s="70">
        <f>ROUND(VLOOKUP(A182,'Contribution Allocation_Report'!$A$9:$D$310,4,FALSE)*'OPEB Amounts_Report'!$D$323,0)</f>
        <v>19325</v>
      </c>
      <c r="E182" s="70">
        <f>ROUND(VLOOKUP(A182,'Contribution Allocation_Report'!$A$9:$D$310,4,FALSE)*'OPEB Amounts_Report'!$E$323,0)</f>
        <v>264623</v>
      </c>
      <c r="F182" s="70">
        <f>INDEX('Change in Proportion Layers'!$Z$8:$Z$321,MATCH('OPEB Amounts_Report'!A182,'Change in Proportion Layers'!$A$8:$A$321,0))</f>
        <v>744597</v>
      </c>
      <c r="G182" s="70">
        <f t="shared" si="6"/>
        <v>1028545</v>
      </c>
      <c r="H182" s="70"/>
      <c r="I182" s="70">
        <f>ROUND(VLOOKUP(A182,'Contribution Allocation_Report'!$A$9:$D$310,4,FALSE)*'OPEB Amounts_Report'!$I$323,0)</f>
        <v>210789</v>
      </c>
      <c r="J182" s="70">
        <f>ROUND(VLOOKUP(A182,'Contribution Allocation_Report'!$A$9:$D$310,4,FALSE)*'OPEB Amounts_Report'!$J$323,0)</f>
        <v>37886</v>
      </c>
      <c r="K182" s="70">
        <f>ROUND(VLOOKUP(A182,'Contribution Allocation_Report'!$A$9:$D$310,4,FALSE)*'OPEB Amounts_Report'!$K$323,0)</f>
        <v>477854</v>
      </c>
      <c r="L182" s="296">
        <f>INDEX('Change in Proportion Layers'!$AA$8:$AA$321,MATCH('OPEB Amounts_Report'!A182,'Change in Proportion Layers'!$A$8:$A$321,0))</f>
        <v>29943</v>
      </c>
      <c r="M182" s="70">
        <f t="shared" si="7"/>
        <v>756472</v>
      </c>
      <c r="N182" s="71"/>
      <c r="O182" s="71">
        <f>ROUND(VLOOKUP(A182,'Contribution Allocation_Report'!$A$9:$D$310,4,FALSE)*'OPEB Amounts_Report'!$O$323,0)</f>
        <v>-142340</v>
      </c>
      <c r="P182" s="71">
        <f>INDEX('Change in Proportion Layers'!$X$8:$X$321,MATCH('OPEB Amounts_Report'!A182,'Change in Proportion Layers'!$A$8:$A$321,0))</f>
        <v>177638</v>
      </c>
      <c r="Q182" s="71">
        <f t="shared" si="8"/>
        <v>35298</v>
      </c>
    </row>
    <row r="183" spans="1:17" ht="12" customHeight="1">
      <c r="A183" s="254">
        <v>6124</v>
      </c>
      <c r="B183" s="255" t="s">
        <v>172</v>
      </c>
      <c r="C183" s="89">
        <f>ROUND(VLOOKUP(A183,'Contribution Allocation_Report'!$A$9:$D$310,4,FALSE)*'OPEB Amounts_Report'!$C$323,0)</f>
        <v>8195932</v>
      </c>
      <c r="D183" s="89">
        <f>ROUND(VLOOKUP(A183,'Contribution Allocation_Report'!$A$9:$D$310,4,FALSE)*'OPEB Amounts_Report'!$D$323,0)</f>
        <v>119835</v>
      </c>
      <c r="E183" s="89">
        <f>ROUND(VLOOKUP(A183,'Contribution Allocation_Report'!$A$9:$D$310,4,FALSE)*'OPEB Amounts_Report'!$E$323,0)</f>
        <v>1640902</v>
      </c>
      <c r="F183" s="89">
        <f>INDEX('Change in Proportion Layers'!$Z$8:$Z$321,MATCH('OPEB Amounts_Report'!A183,'Change in Proportion Layers'!$A$8:$A$321,0))</f>
        <v>0</v>
      </c>
      <c r="G183" s="89">
        <f t="shared" si="6"/>
        <v>1760737</v>
      </c>
      <c r="H183" s="89"/>
      <c r="I183" s="89">
        <f>ROUND(VLOOKUP(A183,'Contribution Allocation_Report'!$A$9:$D$310,4,FALSE)*'OPEB Amounts_Report'!$I$323,0)</f>
        <v>1307081</v>
      </c>
      <c r="J183" s="89">
        <f>ROUND(VLOOKUP(A183,'Contribution Allocation_Report'!$A$9:$D$310,4,FALSE)*'OPEB Amounts_Report'!$J$323,0)</f>
        <v>234929</v>
      </c>
      <c r="K183" s="89">
        <f>ROUND(VLOOKUP(A183,'Contribution Allocation_Report'!$A$9:$D$310,4,FALSE)*'OPEB Amounts_Report'!$K$323,0)</f>
        <v>2963120</v>
      </c>
      <c r="L183" s="89">
        <f>INDEX('Change in Proportion Layers'!$AA$8:$AA$321,MATCH('OPEB Amounts_Report'!A183,'Change in Proportion Layers'!$A$8:$A$321,0))</f>
        <v>1976334</v>
      </c>
      <c r="M183" s="89">
        <f t="shared" si="7"/>
        <v>6481464</v>
      </c>
      <c r="N183" s="90"/>
      <c r="O183" s="90">
        <f>ROUND(VLOOKUP(A183,'Contribution Allocation_Report'!$A$9:$D$310,4,FALSE)*'OPEB Amounts_Report'!$O$323,0)</f>
        <v>-882633</v>
      </c>
      <c r="P183" s="90">
        <f>INDEX('Change in Proportion Layers'!$X$8:$X$321,MATCH('OPEB Amounts_Report'!A183,'Change in Proportion Layers'!$A$8:$A$321,0))</f>
        <v>-593954</v>
      </c>
      <c r="Q183" s="90">
        <f t="shared" si="8"/>
        <v>-1476587</v>
      </c>
    </row>
    <row r="184" spans="1:17" ht="12" customHeight="1">
      <c r="A184" s="62">
        <v>4097</v>
      </c>
      <c r="B184" s="66" t="s">
        <v>173</v>
      </c>
      <c r="C184" s="70">
        <f>ROUND(VLOOKUP(A184,'Contribution Allocation_Report'!$A$9:$D$310,4,FALSE)*'OPEB Amounts_Report'!$C$323,0)</f>
        <v>9698964</v>
      </c>
      <c r="D184" s="70">
        <f>ROUND(VLOOKUP(A184,'Contribution Allocation_Report'!$A$9:$D$310,4,FALSE)*'OPEB Amounts_Report'!$D$323,0)</f>
        <v>141812</v>
      </c>
      <c r="E184" s="70">
        <f>ROUND(VLOOKUP(A184,'Contribution Allocation_Report'!$A$9:$D$310,4,FALSE)*'OPEB Amounts_Report'!$E$323,0)</f>
        <v>1941822</v>
      </c>
      <c r="F184" s="70">
        <f>INDEX('Change in Proportion Layers'!$Z$8:$Z$321,MATCH('OPEB Amounts_Report'!A184,'Change in Proportion Layers'!$A$8:$A$321,0))</f>
        <v>62395</v>
      </c>
      <c r="G184" s="70">
        <f t="shared" si="6"/>
        <v>2146029</v>
      </c>
      <c r="H184" s="70"/>
      <c r="I184" s="70">
        <f>ROUND(VLOOKUP(A184,'Contribution Allocation_Report'!$A$9:$D$310,4,FALSE)*'OPEB Amounts_Report'!$I$323,0)</f>
        <v>1546783</v>
      </c>
      <c r="J184" s="70">
        <f>ROUND(VLOOKUP(A184,'Contribution Allocation_Report'!$A$9:$D$310,4,FALSE)*'OPEB Amounts_Report'!$J$323,0)</f>
        <v>278013</v>
      </c>
      <c r="K184" s="70">
        <f>ROUND(VLOOKUP(A184,'Contribution Allocation_Report'!$A$9:$D$310,4,FALSE)*'OPEB Amounts_Report'!$K$323,0)</f>
        <v>3506519</v>
      </c>
      <c r="L184" s="70">
        <f>INDEX('Change in Proportion Layers'!$AA$8:$AA$321,MATCH('OPEB Amounts_Report'!A184,'Change in Proportion Layers'!$A$8:$A$321,0))</f>
        <v>773098</v>
      </c>
      <c r="M184" s="70">
        <f t="shared" si="7"/>
        <v>6104413</v>
      </c>
      <c r="N184" s="71"/>
      <c r="O184" s="71">
        <f>ROUND(VLOOKUP(A184,'Contribution Allocation_Report'!$A$9:$D$310,4,FALSE)*'OPEB Amounts_Report'!$O$323,0)</f>
        <v>-1044497</v>
      </c>
      <c r="P184" s="71">
        <f>INDEX('Change in Proportion Layers'!$X$8:$X$321,MATCH('OPEB Amounts_Report'!A184,'Change in Proportion Layers'!$A$8:$A$321,0))</f>
        <v>-152968</v>
      </c>
      <c r="Q184" s="71">
        <f t="shared" si="8"/>
        <v>-1197465</v>
      </c>
    </row>
    <row r="185" spans="1:17" ht="12" customHeight="1">
      <c r="A185" s="254">
        <v>1416</v>
      </c>
      <c r="B185" s="255" t="s">
        <v>174</v>
      </c>
      <c r="C185" s="89">
        <f>ROUND(VLOOKUP(A185,'Contribution Allocation_Report'!$A$9:$D$310,4,FALSE)*'OPEB Amounts_Report'!$C$323,0)</f>
        <v>1195384</v>
      </c>
      <c r="D185" s="89">
        <f>ROUND(VLOOKUP(A185,'Contribution Allocation_Report'!$A$9:$D$310,4,FALSE)*'OPEB Amounts_Report'!$D$323,0)</f>
        <v>17478</v>
      </c>
      <c r="E185" s="89">
        <f>ROUND(VLOOKUP(A185,'Contribution Allocation_Report'!$A$9:$D$310,4,FALSE)*'OPEB Amounts_Report'!$E$323,0)</f>
        <v>239327</v>
      </c>
      <c r="F185" s="89">
        <f>INDEX('Change in Proportion Layers'!$Z$8:$Z$321,MATCH('OPEB Amounts_Report'!A185,'Change in Proportion Layers'!$A$8:$A$321,0))</f>
        <v>248894</v>
      </c>
      <c r="G185" s="89">
        <f t="shared" si="6"/>
        <v>505699</v>
      </c>
      <c r="H185" s="89"/>
      <c r="I185" s="89">
        <f>ROUND(VLOOKUP(A185,'Contribution Allocation_Report'!$A$9:$D$310,4,FALSE)*'OPEB Amounts_Report'!$I$323,0)</f>
        <v>190639</v>
      </c>
      <c r="J185" s="89">
        <f>ROUND(VLOOKUP(A185,'Contribution Allocation_Report'!$A$9:$D$310,4,FALSE)*'OPEB Amounts_Report'!$J$323,0)</f>
        <v>34265</v>
      </c>
      <c r="K185" s="89">
        <f>ROUND(VLOOKUP(A185,'Contribution Allocation_Report'!$A$9:$D$310,4,FALSE)*'OPEB Amounts_Report'!$K$323,0)</f>
        <v>432174</v>
      </c>
      <c r="L185" s="89">
        <f>INDEX('Change in Proportion Layers'!$AA$8:$AA$321,MATCH('OPEB Amounts_Report'!A185,'Change in Proportion Layers'!$A$8:$A$321,0))</f>
        <v>0</v>
      </c>
      <c r="M185" s="89">
        <f t="shared" si="7"/>
        <v>657078</v>
      </c>
      <c r="N185" s="90"/>
      <c r="O185" s="90">
        <f>ROUND(VLOOKUP(A185,'Contribution Allocation_Report'!$A$9:$D$310,4,FALSE)*'OPEB Amounts_Report'!$O$323,0)</f>
        <v>-128733</v>
      </c>
      <c r="P185" s="90">
        <f>INDEX('Change in Proportion Layers'!$X$8:$X$321,MATCH('OPEB Amounts_Report'!A185,'Change in Proportion Layers'!$A$8:$A$321,0))</f>
        <v>74587</v>
      </c>
      <c r="Q185" s="90">
        <f t="shared" si="8"/>
        <v>-54146</v>
      </c>
    </row>
    <row r="186" spans="1:17" ht="12" customHeight="1">
      <c r="A186" s="62">
        <v>1094</v>
      </c>
      <c r="B186" s="66" t="s">
        <v>175</v>
      </c>
      <c r="C186" s="70">
        <f>ROUND(VLOOKUP(A186,'Contribution Allocation_Report'!$A$9:$D$310,4,FALSE)*'OPEB Amounts_Report'!$C$323,0)</f>
        <v>7243705</v>
      </c>
      <c r="D186" s="70">
        <f>ROUND(VLOOKUP(A186,'Contribution Allocation_Report'!$A$9:$D$310,4,FALSE)*'OPEB Amounts_Report'!$D$323,0)</f>
        <v>105913</v>
      </c>
      <c r="E186" s="70">
        <f>ROUND(VLOOKUP(A186,'Contribution Allocation_Report'!$A$9:$D$310,4,FALSE)*'OPEB Amounts_Report'!$E$323,0)</f>
        <v>1450257</v>
      </c>
      <c r="F186" s="70">
        <f>INDEX('Change in Proportion Layers'!$Z$8:$Z$321,MATCH('OPEB Amounts_Report'!A186,'Change in Proportion Layers'!$A$8:$A$321,0))</f>
        <v>194800</v>
      </c>
      <c r="G186" s="70">
        <f t="shared" si="6"/>
        <v>1750970</v>
      </c>
      <c r="H186" s="70"/>
      <c r="I186" s="70">
        <f>ROUND(VLOOKUP(A186,'Contribution Allocation_Report'!$A$9:$D$310,4,FALSE)*'OPEB Amounts_Report'!$I$323,0)</f>
        <v>1155220</v>
      </c>
      <c r="J186" s="70">
        <f>ROUND(VLOOKUP(A186,'Contribution Allocation_Report'!$A$9:$D$310,4,FALSE)*'OPEB Amounts_Report'!$J$323,0)</f>
        <v>207635</v>
      </c>
      <c r="K186" s="70">
        <f>ROUND(VLOOKUP(A186,'Contribution Allocation_Report'!$A$9:$D$310,4,FALSE)*'OPEB Amounts_Report'!$K$323,0)</f>
        <v>2618856</v>
      </c>
      <c r="L186" s="70">
        <f>INDEX('Change in Proportion Layers'!$AA$8:$AA$321,MATCH('OPEB Amounts_Report'!A186,'Change in Proportion Layers'!$A$8:$A$321,0))</f>
        <v>535216</v>
      </c>
      <c r="M186" s="70">
        <f t="shared" si="7"/>
        <v>4516927</v>
      </c>
      <c r="N186" s="71"/>
      <c r="O186" s="71">
        <f>ROUND(VLOOKUP(A186,'Contribution Allocation_Report'!$A$9:$D$310,4,FALSE)*'OPEB Amounts_Report'!$O$323,0)</f>
        <v>-780086</v>
      </c>
      <c r="P186" s="71">
        <f>INDEX('Change in Proportion Layers'!$X$8:$X$321,MATCH('OPEB Amounts_Report'!A186,'Change in Proportion Layers'!$A$8:$A$321,0))</f>
        <v>-41794</v>
      </c>
      <c r="Q186" s="71">
        <f t="shared" si="8"/>
        <v>-821880</v>
      </c>
    </row>
    <row r="187" spans="1:17" ht="12" customHeight="1">
      <c r="A187" s="254">
        <v>32111</v>
      </c>
      <c r="B187" s="255" t="s">
        <v>176</v>
      </c>
      <c r="C187" s="89">
        <f>ROUND(VLOOKUP(A187,'Contribution Allocation_Report'!$A$9:$D$310,4,FALSE)*'OPEB Amounts_Report'!$C$323,0)</f>
        <v>6646836</v>
      </c>
      <c r="D187" s="89">
        <f>ROUND(VLOOKUP(A187,'Contribution Allocation_Report'!$A$9:$D$310,4,FALSE)*'OPEB Amounts_Report'!$D$323,0)</f>
        <v>97185</v>
      </c>
      <c r="E187" s="89">
        <f>ROUND(VLOOKUP(A187,'Contribution Allocation_Report'!$A$9:$D$310,4,FALSE)*'OPEB Amounts_Report'!$E$323,0)</f>
        <v>1330758</v>
      </c>
      <c r="F187" s="89">
        <f>INDEX('Change in Proportion Layers'!$Z$8:$Z$321,MATCH('OPEB Amounts_Report'!A187,'Change in Proportion Layers'!$A$8:$A$321,0))</f>
        <v>50488</v>
      </c>
      <c r="G187" s="89">
        <f t="shared" si="6"/>
        <v>1478431</v>
      </c>
      <c r="H187" s="89"/>
      <c r="I187" s="89">
        <f>ROUND(VLOOKUP(A187,'Contribution Allocation_Report'!$A$9:$D$310,4,FALSE)*'OPEB Amounts_Report'!$I$323,0)</f>
        <v>1060032</v>
      </c>
      <c r="J187" s="89">
        <f>ROUND(VLOOKUP(A187,'Contribution Allocation_Report'!$A$9:$D$310,4,FALSE)*'OPEB Amounts_Report'!$J$323,0)</f>
        <v>190526</v>
      </c>
      <c r="K187" s="89">
        <f>ROUND(VLOOKUP(A187,'Contribution Allocation_Report'!$A$9:$D$310,4,FALSE)*'OPEB Amounts_Report'!$K$323,0)</f>
        <v>2403067</v>
      </c>
      <c r="L187" s="297">
        <f>INDEX('Change in Proportion Layers'!$AA$8:$AA$321,MATCH('OPEB Amounts_Report'!A187,'Change in Proportion Layers'!$A$8:$A$321,0))</f>
        <v>410746</v>
      </c>
      <c r="M187" s="89">
        <f t="shared" si="7"/>
        <v>4064371</v>
      </c>
      <c r="N187" s="90"/>
      <c r="O187" s="90">
        <f>ROUND(VLOOKUP(A187,'Contribution Allocation_Report'!$A$9:$D$310,4,FALSE)*'OPEB Amounts_Report'!$O$323,0)</f>
        <v>-715809</v>
      </c>
      <c r="P187" s="90">
        <f>INDEX('Change in Proportion Layers'!$X$8:$X$321,MATCH('OPEB Amounts_Report'!A187,'Change in Proportion Layers'!$A$8:$A$321,0))</f>
        <v>-59063</v>
      </c>
      <c r="Q187" s="90">
        <f t="shared" si="8"/>
        <v>-774872</v>
      </c>
    </row>
    <row r="188" spans="1:17" ht="12" customHeight="1">
      <c r="A188" s="62">
        <v>2520</v>
      </c>
      <c r="B188" s="66" t="s">
        <v>177</v>
      </c>
      <c r="C188" s="70">
        <f>ROUND(VLOOKUP(A188,'Contribution Allocation_Report'!$A$9:$D$310,4,FALSE)*'OPEB Amounts_Report'!$C$323,0)</f>
        <v>918995</v>
      </c>
      <c r="D188" s="70">
        <f>ROUND(VLOOKUP(A188,'Contribution Allocation_Report'!$A$9:$D$310,4,FALSE)*'OPEB Amounts_Report'!$D$323,0)</f>
        <v>13437</v>
      </c>
      <c r="E188" s="70">
        <f>ROUND(VLOOKUP(A188,'Contribution Allocation_Report'!$A$9:$D$310,4,FALSE)*'OPEB Amounts_Report'!$E$323,0)</f>
        <v>183991</v>
      </c>
      <c r="F188" s="70">
        <f>INDEX('Change in Proportion Layers'!$Z$8:$Z$321,MATCH('OPEB Amounts_Report'!A188,'Change in Proportion Layers'!$A$8:$A$321,0))</f>
        <v>148425</v>
      </c>
      <c r="G188" s="70">
        <f t="shared" si="6"/>
        <v>345853</v>
      </c>
      <c r="H188" s="70"/>
      <c r="I188" s="70">
        <f>ROUND(VLOOKUP(A188,'Contribution Allocation_Report'!$A$9:$D$310,4,FALSE)*'OPEB Amounts_Report'!$I$323,0)</f>
        <v>146561</v>
      </c>
      <c r="J188" s="70">
        <f>ROUND(VLOOKUP(A188,'Contribution Allocation_Report'!$A$9:$D$310,4,FALSE)*'OPEB Amounts_Report'!$J$323,0)</f>
        <v>26342</v>
      </c>
      <c r="K188" s="70">
        <f>ROUND(VLOOKUP(A188,'Contribution Allocation_Report'!$A$9:$D$310,4,FALSE)*'OPEB Amounts_Report'!$K$323,0)</f>
        <v>332249</v>
      </c>
      <c r="L188" s="296">
        <f>INDEX('Change in Proportion Layers'!$AA$8:$AA$321,MATCH('OPEB Amounts_Report'!A188,'Change in Proportion Layers'!$A$8:$A$321,0))</f>
        <v>274360</v>
      </c>
      <c r="M188" s="70">
        <f t="shared" si="7"/>
        <v>779512</v>
      </c>
      <c r="N188" s="71"/>
      <c r="O188" s="71">
        <f>ROUND(VLOOKUP(A188,'Contribution Allocation_Report'!$A$9:$D$310,4,FALSE)*'OPEB Amounts_Report'!$O$323,0)</f>
        <v>-98968</v>
      </c>
      <c r="P188" s="71">
        <f>INDEX('Change in Proportion Layers'!$X$8:$X$321,MATCH('OPEB Amounts_Report'!A188,'Change in Proportion Layers'!$A$8:$A$321,0))</f>
        <v>-68294</v>
      </c>
      <c r="Q188" s="71">
        <f t="shared" si="8"/>
        <v>-167262</v>
      </c>
    </row>
    <row r="189" spans="1:17" ht="12" customHeight="1">
      <c r="A189" s="254">
        <v>3450</v>
      </c>
      <c r="B189" s="255" t="s">
        <v>178</v>
      </c>
      <c r="C189" s="89">
        <f>ROUND(VLOOKUP(A189,'Contribution Allocation_Report'!$A$9:$D$310,4,FALSE)*'OPEB Amounts_Report'!$C$323,0)</f>
        <v>1874183</v>
      </c>
      <c r="D189" s="89">
        <f>ROUND(VLOOKUP(A189,'Contribution Allocation_Report'!$A$9:$D$310,4,FALSE)*'OPEB Amounts_Report'!$D$323,0)</f>
        <v>27403</v>
      </c>
      <c r="E189" s="89">
        <f>ROUND(VLOOKUP(A189,'Contribution Allocation_Report'!$A$9:$D$310,4,FALSE)*'OPEB Amounts_Report'!$E$323,0)</f>
        <v>375229</v>
      </c>
      <c r="F189" s="89">
        <f>INDEX('Change in Proportion Layers'!$Z$8:$Z$321,MATCH('OPEB Amounts_Report'!A189,'Change in Proportion Layers'!$A$8:$A$321,0))</f>
        <v>70185</v>
      </c>
      <c r="G189" s="89">
        <f t="shared" si="6"/>
        <v>472817</v>
      </c>
      <c r="H189" s="89"/>
      <c r="I189" s="89">
        <f>ROUND(VLOOKUP(A189,'Contribution Allocation_Report'!$A$9:$D$310,4,FALSE)*'OPEB Amounts_Report'!$I$323,0)</f>
        <v>298893</v>
      </c>
      <c r="J189" s="89">
        <f>ROUND(VLOOKUP(A189,'Contribution Allocation_Report'!$A$9:$D$310,4,FALSE)*'OPEB Amounts_Report'!$J$323,0)</f>
        <v>53722</v>
      </c>
      <c r="K189" s="89">
        <f>ROUND(VLOOKUP(A189,'Contribution Allocation_Report'!$A$9:$D$310,4,FALSE)*'OPEB Amounts_Report'!$K$323,0)</f>
        <v>677584</v>
      </c>
      <c r="L189" s="89">
        <f>INDEX('Change in Proportion Layers'!$AA$8:$AA$321,MATCH('OPEB Amounts_Report'!A189,'Change in Proportion Layers'!$A$8:$A$321,0))</f>
        <v>60398</v>
      </c>
      <c r="M189" s="89">
        <f t="shared" si="7"/>
        <v>1090597</v>
      </c>
      <c r="N189" s="90"/>
      <c r="O189" s="90">
        <f>ROUND(VLOOKUP(A189,'Contribution Allocation_Report'!$A$9:$D$310,4,FALSE)*'OPEB Amounts_Report'!$O$323,0)</f>
        <v>-201834</v>
      </c>
      <c r="P189" s="90">
        <f>INDEX('Change in Proportion Layers'!$X$8:$X$321,MATCH('OPEB Amounts_Report'!A189,'Change in Proportion Layers'!$A$8:$A$321,0))</f>
        <v>19095</v>
      </c>
      <c r="Q189" s="90">
        <f t="shared" si="8"/>
        <v>-182739</v>
      </c>
    </row>
    <row r="190" spans="1:17" ht="12" customHeight="1">
      <c r="A190" s="62">
        <v>4310</v>
      </c>
      <c r="B190" s="66" t="s">
        <v>179</v>
      </c>
      <c r="C190" s="70">
        <f>ROUND(VLOOKUP(A190,'Contribution Allocation_Report'!$A$9:$D$310,4,FALSE)*'OPEB Amounts_Report'!$C$323,0)</f>
        <v>1070680</v>
      </c>
      <c r="D190" s="70">
        <f>ROUND(VLOOKUP(A190,'Contribution Allocation_Report'!$A$9:$D$310,4,FALSE)*'OPEB Amounts_Report'!$D$323,0)</f>
        <v>15655</v>
      </c>
      <c r="E190" s="70">
        <f>ROUND(VLOOKUP(A190,'Contribution Allocation_Report'!$A$9:$D$310,4,FALSE)*'OPEB Amounts_Report'!$E$323,0)</f>
        <v>214360</v>
      </c>
      <c r="F190" s="70">
        <f>INDEX('Change in Proportion Layers'!$Z$8:$Z$321,MATCH('OPEB Amounts_Report'!A190,'Change in Proportion Layers'!$A$8:$A$321,0))</f>
        <v>121867</v>
      </c>
      <c r="G190" s="70">
        <f t="shared" si="6"/>
        <v>351882</v>
      </c>
      <c r="H190" s="70"/>
      <c r="I190" s="70">
        <f>ROUND(VLOOKUP(A190,'Contribution Allocation_Report'!$A$9:$D$310,4,FALSE)*'OPEB Amounts_Report'!$I$323,0)</f>
        <v>170751</v>
      </c>
      <c r="J190" s="70">
        <f>ROUND(VLOOKUP(A190,'Contribution Allocation_Report'!$A$9:$D$310,4,FALSE)*'OPEB Amounts_Report'!$J$323,0)</f>
        <v>30690</v>
      </c>
      <c r="K190" s="70">
        <f>ROUND(VLOOKUP(A190,'Contribution Allocation_Report'!$A$9:$D$310,4,FALSE)*'OPEB Amounts_Report'!$K$323,0)</f>
        <v>387089</v>
      </c>
      <c r="L190" s="70">
        <f>INDEX('Change in Proportion Layers'!$AA$8:$AA$321,MATCH('OPEB Amounts_Report'!A190,'Change in Proportion Layers'!$A$8:$A$321,0))</f>
        <v>92765</v>
      </c>
      <c r="M190" s="70">
        <f t="shared" si="7"/>
        <v>681295</v>
      </c>
      <c r="N190" s="71"/>
      <c r="O190" s="71">
        <f>ROUND(VLOOKUP(A190,'Contribution Allocation_Report'!$A$9:$D$310,4,FALSE)*'OPEB Amounts_Report'!$O$323,0)</f>
        <v>-115303</v>
      </c>
      <c r="P190" s="71">
        <f>INDEX('Change in Proportion Layers'!$X$8:$X$321,MATCH('OPEB Amounts_Report'!A190,'Change in Proportion Layers'!$A$8:$A$321,0))</f>
        <v>36965</v>
      </c>
      <c r="Q190" s="71">
        <f t="shared" si="8"/>
        <v>-78338</v>
      </c>
    </row>
    <row r="191" spans="1:17" ht="12" customHeight="1">
      <c r="A191" s="254">
        <v>2328</v>
      </c>
      <c r="B191" s="255" t="s">
        <v>180</v>
      </c>
      <c r="C191" s="89">
        <f>ROUND(VLOOKUP(A191,'Contribution Allocation_Report'!$A$9:$D$310,4,FALSE)*'OPEB Amounts_Report'!$C$323,0)</f>
        <v>1743885</v>
      </c>
      <c r="D191" s="89">
        <f>ROUND(VLOOKUP(A191,'Contribution Allocation_Report'!$A$9:$D$310,4,FALSE)*'OPEB Amounts_Report'!$D$323,0)</f>
        <v>25498</v>
      </c>
      <c r="E191" s="89">
        <f>ROUND(VLOOKUP(A191,'Contribution Allocation_Report'!$A$9:$D$310,4,FALSE)*'OPEB Amounts_Report'!$E$323,0)</f>
        <v>349142</v>
      </c>
      <c r="F191" s="89">
        <f>INDEX('Change in Proportion Layers'!$Z$8:$Z$321,MATCH('OPEB Amounts_Report'!A191,'Change in Proportion Layers'!$A$8:$A$321,0))</f>
        <v>279629</v>
      </c>
      <c r="G191" s="89">
        <f t="shared" si="6"/>
        <v>654269</v>
      </c>
      <c r="H191" s="89"/>
      <c r="I191" s="89">
        <f>ROUND(VLOOKUP(A191,'Contribution Allocation_Report'!$A$9:$D$310,4,FALSE)*'OPEB Amounts_Report'!$I$323,0)</f>
        <v>278113</v>
      </c>
      <c r="J191" s="89">
        <f>ROUND(VLOOKUP(A191,'Contribution Allocation_Report'!$A$9:$D$310,4,FALSE)*'OPEB Amounts_Report'!$J$323,0)</f>
        <v>49987</v>
      </c>
      <c r="K191" s="89">
        <f>ROUND(VLOOKUP(A191,'Contribution Allocation_Report'!$A$9:$D$310,4,FALSE)*'OPEB Amounts_Report'!$K$323,0)</f>
        <v>630476</v>
      </c>
      <c r="L191" s="297">
        <f>INDEX('Change in Proportion Layers'!$AA$8:$AA$321,MATCH('OPEB Amounts_Report'!A191,'Change in Proportion Layers'!$A$8:$A$321,0))</f>
        <v>235864</v>
      </c>
      <c r="M191" s="89">
        <f t="shared" si="7"/>
        <v>1194440</v>
      </c>
      <c r="N191" s="90"/>
      <c r="O191" s="90">
        <f>ROUND(VLOOKUP(A191,'Contribution Allocation_Report'!$A$9:$D$310,4,FALSE)*'OPEB Amounts_Report'!$O$323,0)</f>
        <v>-187802</v>
      </c>
      <c r="P191" s="90">
        <f>INDEX('Change in Proportion Layers'!$X$8:$X$321,MATCH('OPEB Amounts_Report'!A191,'Change in Proportion Layers'!$A$8:$A$321,0))</f>
        <v>-45473</v>
      </c>
      <c r="Q191" s="90">
        <f t="shared" si="8"/>
        <v>-233275</v>
      </c>
    </row>
    <row r="192" spans="1:17" ht="12" customHeight="1">
      <c r="A192" s="62">
        <v>12151</v>
      </c>
      <c r="B192" s="66" t="s">
        <v>181</v>
      </c>
      <c r="C192" s="70">
        <f>ROUND(VLOOKUP(A192,'Contribution Allocation_Report'!$A$9:$D$310,4,FALSE)*'OPEB Amounts_Report'!$C$323,0)</f>
        <v>576469</v>
      </c>
      <c r="D192" s="70">
        <f>ROUND(VLOOKUP(A192,'Contribution Allocation_Report'!$A$9:$D$310,4,FALSE)*'OPEB Amounts_Report'!$D$323,0)</f>
        <v>8429</v>
      </c>
      <c r="E192" s="70">
        <f>ROUND(VLOOKUP(A192,'Contribution Allocation_Report'!$A$9:$D$310,4,FALSE)*'OPEB Amounts_Report'!$E$323,0)</f>
        <v>115414</v>
      </c>
      <c r="F192" s="70">
        <f>INDEX('Change in Proportion Layers'!$Z$8:$Z$321,MATCH('OPEB Amounts_Report'!A192,'Change in Proportion Layers'!$A$8:$A$321,0))</f>
        <v>39526</v>
      </c>
      <c r="G192" s="70">
        <f t="shared" si="6"/>
        <v>163369</v>
      </c>
      <c r="H192" s="70"/>
      <c r="I192" s="70">
        <f>ROUND(VLOOKUP(A192,'Contribution Allocation_Report'!$A$9:$D$310,4,FALSE)*'OPEB Amounts_Report'!$I$323,0)</f>
        <v>91935</v>
      </c>
      <c r="J192" s="70">
        <f>ROUND(VLOOKUP(A192,'Contribution Allocation_Report'!$A$9:$D$310,4,FALSE)*'OPEB Amounts_Report'!$J$323,0)</f>
        <v>16524</v>
      </c>
      <c r="K192" s="70">
        <f>ROUND(VLOOKUP(A192,'Contribution Allocation_Report'!$A$9:$D$310,4,FALSE)*'OPEB Amounts_Report'!$K$323,0)</f>
        <v>208414</v>
      </c>
      <c r="L192" s="296">
        <f>INDEX('Change in Proportion Layers'!$AA$8:$AA$321,MATCH('OPEB Amounts_Report'!A192,'Change in Proportion Layers'!$A$8:$A$321,0))</f>
        <v>291463</v>
      </c>
      <c r="M192" s="70">
        <f t="shared" si="7"/>
        <v>608336</v>
      </c>
      <c r="N192" s="71"/>
      <c r="O192" s="71">
        <f>ROUND(VLOOKUP(A192,'Contribution Allocation_Report'!$A$9:$D$310,4,FALSE)*'OPEB Amounts_Report'!$O$323,0)</f>
        <v>-62081</v>
      </c>
      <c r="P192" s="71">
        <f>INDEX('Change in Proportion Layers'!$X$8:$X$321,MATCH('OPEB Amounts_Report'!A192,'Change in Proportion Layers'!$A$8:$A$321,0))</f>
        <v>-91567</v>
      </c>
      <c r="Q192" s="71">
        <f t="shared" si="8"/>
        <v>-153648</v>
      </c>
    </row>
    <row r="193" spans="1:17" ht="12" customHeight="1">
      <c r="A193" s="254">
        <v>32110</v>
      </c>
      <c r="B193" s="255" t="s">
        <v>182</v>
      </c>
      <c r="C193" s="89">
        <f>ROUND(VLOOKUP(A193,'Contribution Allocation_Report'!$A$9:$D$310,4,FALSE)*'OPEB Amounts_Report'!$C$323,0)</f>
        <v>6663287</v>
      </c>
      <c r="D193" s="89">
        <f>ROUND(VLOOKUP(A193,'Contribution Allocation_Report'!$A$9:$D$310,4,FALSE)*'OPEB Amounts_Report'!$D$323,0)</f>
        <v>97426</v>
      </c>
      <c r="E193" s="89">
        <f>ROUND(VLOOKUP(A193,'Contribution Allocation_Report'!$A$9:$D$310,4,FALSE)*'OPEB Amounts_Report'!$E$323,0)</f>
        <v>1334052</v>
      </c>
      <c r="F193" s="89">
        <f>INDEX('Change in Proportion Layers'!$Z$8:$Z$321,MATCH('OPEB Amounts_Report'!A193,'Change in Proportion Layers'!$A$8:$A$321,0))</f>
        <v>1041433</v>
      </c>
      <c r="G193" s="89">
        <f t="shared" si="6"/>
        <v>2472911</v>
      </c>
      <c r="H193" s="89"/>
      <c r="I193" s="89">
        <f>ROUND(VLOOKUP(A193,'Contribution Allocation_Report'!$A$9:$D$310,4,FALSE)*'OPEB Amounts_Report'!$I$323,0)</f>
        <v>1062656</v>
      </c>
      <c r="J193" s="89">
        <f>ROUND(VLOOKUP(A193,'Contribution Allocation_Report'!$A$9:$D$310,4,FALSE)*'OPEB Amounts_Report'!$J$323,0)</f>
        <v>190997</v>
      </c>
      <c r="K193" s="89">
        <f>ROUND(VLOOKUP(A193,'Contribution Allocation_Report'!$A$9:$D$310,4,FALSE)*'OPEB Amounts_Report'!$K$323,0)</f>
        <v>2409015</v>
      </c>
      <c r="L193" s="89">
        <f>INDEX('Change in Proportion Layers'!$AA$8:$AA$321,MATCH('OPEB Amounts_Report'!A193,'Change in Proportion Layers'!$A$8:$A$321,0))</f>
        <v>69925</v>
      </c>
      <c r="M193" s="89">
        <f t="shared" si="7"/>
        <v>3732593</v>
      </c>
      <c r="N193" s="90"/>
      <c r="O193" s="90">
        <f>ROUND(VLOOKUP(A193,'Contribution Allocation_Report'!$A$9:$D$310,4,FALSE)*'OPEB Amounts_Report'!$O$323,0)</f>
        <v>-717580</v>
      </c>
      <c r="P193" s="90">
        <f>INDEX('Change in Proportion Layers'!$X$8:$X$321,MATCH('OPEB Amounts_Report'!A193,'Change in Proportion Layers'!$A$8:$A$321,0))</f>
        <v>258943</v>
      </c>
      <c r="Q193" s="90">
        <f t="shared" si="8"/>
        <v>-458637</v>
      </c>
    </row>
    <row r="194" spans="1:17" ht="12" customHeight="1">
      <c r="A194" s="62">
        <v>4215</v>
      </c>
      <c r="B194" s="66" t="s">
        <v>183</v>
      </c>
      <c r="C194" s="70">
        <f>ROUND(VLOOKUP(A194,'Contribution Allocation_Report'!$A$9:$D$310,4,FALSE)*'OPEB Amounts_Report'!$C$323,0)</f>
        <v>97394</v>
      </c>
      <c r="D194" s="70">
        <f>ROUND(VLOOKUP(A194,'Contribution Allocation_Report'!$A$9:$D$310,4,FALSE)*'OPEB Amounts_Report'!$D$323,0)</f>
        <v>1424</v>
      </c>
      <c r="E194" s="70">
        <f>ROUND(VLOOKUP(A194,'Contribution Allocation_Report'!$A$9:$D$310,4,FALSE)*'OPEB Amounts_Report'!$E$323,0)</f>
        <v>19499</v>
      </c>
      <c r="F194" s="70">
        <f>INDEX('Change in Proportion Layers'!$Z$8:$Z$321,MATCH('OPEB Amounts_Report'!A194,'Change in Proportion Layers'!$A$8:$A$321,0))</f>
        <v>19572</v>
      </c>
      <c r="G194" s="70">
        <f t="shared" si="6"/>
        <v>40495</v>
      </c>
      <c r="H194" s="70"/>
      <c r="I194" s="70">
        <f>ROUND(VLOOKUP(A194,'Contribution Allocation_Report'!$A$9:$D$310,4,FALSE)*'OPEB Amounts_Report'!$I$323,0)</f>
        <v>15532</v>
      </c>
      <c r="J194" s="70">
        <f>ROUND(VLOOKUP(A194,'Contribution Allocation_Report'!$A$9:$D$310,4,FALSE)*'OPEB Amounts_Report'!$J$323,0)</f>
        <v>2792</v>
      </c>
      <c r="K194" s="70">
        <f>ROUND(VLOOKUP(A194,'Contribution Allocation_Report'!$A$9:$D$310,4,FALSE)*'OPEB Amounts_Report'!$K$323,0)</f>
        <v>35212</v>
      </c>
      <c r="L194" s="70">
        <f>INDEX('Change in Proportion Layers'!$AA$8:$AA$321,MATCH('OPEB Amounts_Report'!A194,'Change in Proportion Layers'!$A$8:$A$321,0))</f>
        <v>326451</v>
      </c>
      <c r="M194" s="70">
        <f t="shared" si="7"/>
        <v>379987</v>
      </c>
      <c r="N194" s="71"/>
      <c r="O194" s="71">
        <f>ROUND(VLOOKUP(A194,'Contribution Allocation_Report'!$A$9:$D$310,4,FALSE)*'OPEB Amounts_Report'!$O$323,0)</f>
        <v>-10489</v>
      </c>
      <c r="P194" s="71">
        <f>INDEX('Change in Proportion Layers'!$X$8:$X$321,MATCH('OPEB Amounts_Report'!A194,'Change in Proportion Layers'!$A$8:$A$321,0))</f>
        <v>-72468</v>
      </c>
      <c r="Q194" s="71">
        <f t="shared" si="8"/>
        <v>-82957</v>
      </c>
    </row>
    <row r="195" spans="1:17" ht="12" customHeight="1">
      <c r="A195" s="254">
        <v>2870</v>
      </c>
      <c r="B195" s="255" t="s">
        <v>184</v>
      </c>
      <c r="C195" s="89">
        <f>ROUND(VLOOKUP(A195,'Contribution Allocation_Report'!$A$9:$D$310,4,FALSE)*'OPEB Amounts_Report'!$C$323,0)</f>
        <v>1060480</v>
      </c>
      <c r="D195" s="89">
        <f>ROUND(VLOOKUP(A195,'Contribution Allocation_Report'!$A$9:$D$310,4,FALSE)*'OPEB Amounts_Report'!$D$323,0)</f>
        <v>15506</v>
      </c>
      <c r="E195" s="89">
        <f>ROUND(VLOOKUP(A195,'Contribution Allocation_Report'!$A$9:$D$310,4,FALSE)*'OPEB Amounts_Report'!$E$323,0)</f>
        <v>212318</v>
      </c>
      <c r="F195" s="89">
        <f>INDEX('Change in Proportion Layers'!$Z$8:$Z$321,MATCH('OPEB Amounts_Report'!A195,'Change in Proportion Layers'!$A$8:$A$321,0))</f>
        <v>63324</v>
      </c>
      <c r="G195" s="89">
        <f t="shared" si="6"/>
        <v>291148</v>
      </c>
      <c r="H195" s="89"/>
      <c r="I195" s="89">
        <f>ROUND(VLOOKUP(A195,'Contribution Allocation_Report'!$A$9:$D$310,4,FALSE)*'OPEB Amounts_Report'!$I$323,0)</f>
        <v>169124</v>
      </c>
      <c r="J195" s="89">
        <f>ROUND(VLOOKUP(A195,'Contribution Allocation_Report'!$A$9:$D$310,4,FALSE)*'OPEB Amounts_Report'!$J$323,0)</f>
        <v>30398</v>
      </c>
      <c r="K195" s="89">
        <f>ROUND(VLOOKUP(A195,'Contribution Allocation_Report'!$A$9:$D$310,4,FALSE)*'OPEB Amounts_Report'!$K$323,0)</f>
        <v>383401</v>
      </c>
      <c r="L195" s="89">
        <f>INDEX('Change in Proportion Layers'!$AA$8:$AA$321,MATCH('OPEB Amounts_Report'!A195,'Change in Proportion Layers'!$A$8:$A$321,0))</f>
        <v>67668</v>
      </c>
      <c r="M195" s="89">
        <f t="shared" si="7"/>
        <v>650591</v>
      </c>
      <c r="N195" s="90"/>
      <c r="O195" s="90">
        <f>ROUND(VLOOKUP(A195,'Contribution Allocation_Report'!$A$9:$D$310,4,FALSE)*'OPEB Amounts_Report'!$O$323,0)</f>
        <v>-114205</v>
      </c>
      <c r="P195" s="90">
        <f>INDEX('Change in Proportion Layers'!$X$8:$X$321,MATCH('OPEB Amounts_Report'!A195,'Change in Proportion Layers'!$A$8:$A$321,0))</f>
        <v>14016</v>
      </c>
      <c r="Q195" s="90">
        <f t="shared" si="8"/>
        <v>-100189</v>
      </c>
    </row>
    <row r="196" spans="1:17" ht="12" customHeight="1">
      <c r="A196" s="62">
        <v>29150</v>
      </c>
      <c r="B196" s="66" t="s">
        <v>185</v>
      </c>
      <c r="C196" s="70">
        <f>ROUND(VLOOKUP(A196,'Contribution Allocation_Report'!$A$9:$D$310,4,FALSE)*'OPEB Amounts_Report'!$C$323,0)</f>
        <v>323770</v>
      </c>
      <c r="D196" s="70">
        <f>ROUND(VLOOKUP(A196,'Contribution Allocation_Report'!$A$9:$D$310,4,FALSE)*'OPEB Amounts_Report'!$D$323,0)</f>
        <v>4734</v>
      </c>
      <c r="E196" s="70">
        <f>ROUND(VLOOKUP(A196,'Contribution Allocation_Report'!$A$9:$D$310,4,FALSE)*'OPEB Amounts_Report'!$E$323,0)</f>
        <v>64822</v>
      </c>
      <c r="F196" s="70">
        <f>INDEX('Change in Proportion Layers'!$Z$8:$Z$321,MATCH('OPEB Amounts_Report'!A196,'Change in Proportion Layers'!$A$8:$A$321,0))</f>
        <v>74942</v>
      </c>
      <c r="G196" s="70">
        <f t="shared" si="6"/>
        <v>144498</v>
      </c>
      <c r="H196" s="70"/>
      <c r="I196" s="70">
        <f>ROUND(VLOOKUP(A196,'Contribution Allocation_Report'!$A$9:$D$310,4,FALSE)*'OPEB Amounts_Report'!$I$323,0)</f>
        <v>51635</v>
      </c>
      <c r="J196" s="70">
        <f>ROUND(VLOOKUP(A196,'Contribution Allocation_Report'!$A$9:$D$310,4,FALSE)*'OPEB Amounts_Report'!$J$323,0)</f>
        <v>9281</v>
      </c>
      <c r="K196" s="70">
        <f>ROUND(VLOOKUP(A196,'Contribution Allocation_Report'!$A$9:$D$310,4,FALSE)*'OPEB Amounts_Report'!$K$323,0)</f>
        <v>117054</v>
      </c>
      <c r="L196" s="70">
        <f>INDEX('Change in Proportion Layers'!$AA$8:$AA$321,MATCH('OPEB Amounts_Report'!A196,'Change in Proportion Layers'!$A$8:$A$321,0))</f>
        <v>99004</v>
      </c>
      <c r="M196" s="70">
        <f t="shared" si="7"/>
        <v>276974</v>
      </c>
      <c r="N196" s="71"/>
      <c r="O196" s="71">
        <f>ROUND(VLOOKUP(A196,'Contribution Allocation_Report'!$A$9:$D$310,4,FALSE)*'OPEB Amounts_Report'!$O$323,0)</f>
        <v>-34867</v>
      </c>
      <c r="P196" s="71">
        <f>INDEX('Change in Proportion Layers'!$X$8:$X$321,MATCH('OPEB Amounts_Report'!A196,'Change in Proportion Layers'!$A$8:$A$321,0))</f>
        <v>20453</v>
      </c>
      <c r="Q196" s="71">
        <f t="shared" si="8"/>
        <v>-14414</v>
      </c>
    </row>
    <row r="197" spans="1:17" ht="12" customHeight="1">
      <c r="A197" s="254">
        <v>2311</v>
      </c>
      <c r="B197" s="255" t="s">
        <v>186</v>
      </c>
      <c r="C197" s="89">
        <f>ROUND(VLOOKUP(A197,'Contribution Allocation_Report'!$A$9:$D$310,4,FALSE)*'OPEB Amounts_Report'!$C$323,0)</f>
        <v>884446</v>
      </c>
      <c r="D197" s="89">
        <f>ROUND(VLOOKUP(A197,'Contribution Allocation_Report'!$A$9:$D$310,4,FALSE)*'OPEB Amounts_Report'!$D$323,0)</f>
        <v>12932</v>
      </c>
      <c r="E197" s="89">
        <f>ROUND(VLOOKUP(A197,'Contribution Allocation_Report'!$A$9:$D$310,4,FALSE)*'OPEB Amounts_Report'!$E$323,0)</f>
        <v>177074</v>
      </c>
      <c r="F197" s="89">
        <f>INDEX('Change in Proportion Layers'!$Z$8:$Z$321,MATCH('OPEB Amounts_Report'!A197,'Change in Proportion Layers'!$A$8:$A$321,0))</f>
        <v>227571</v>
      </c>
      <c r="G197" s="89">
        <f t="shared" si="6"/>
        <v>417577</v>
      </c>
      <c r="H197" s="89"/>
      <c r="I197" s="89">
        <f>ROUND(VLOOKUP(A197,'Contribution Allocation_Report'!$A$9:$D$310,4,FALSE)*'OPEB Amounts_Report'!$I$323,0)</f>
        <v>141051</v>
      </c>
      <c r="J197" s="89">
        <f>ROUND(VLOOKUP(A197,'Contribution Allocation_Report'!$A$9:$D$310,4,FALSE)*'OPEB Amounts_Report'!$J$323,0)</f>
        <v>25352</v>
      </c>
      <c r="K197" s="89">
        <f>ROUND(VLOOKUP(A197,'Contribution Allocation_Report'!$A$9:$D$310,4,FALSE)*'OPEB Amounts_Report'!$K$323,0)</f>
        <v>319759</v>
      </c>
      <c r="L197" s="297">
        <f>INDEX('Change in Proportion Layers'!$AA$8:$AA$321,MATCH('OPEB Amounts_Report'!A197,'Change in Proportion Layers'!$A$8:$A$321,0))</f>
        <v>151968</v>
      </c>
      <c r="M197" s="89">
        <f t="shared" si="7"/>
        <v>638130</v>
      </c>
      <c r="N197" s="90"/>
      <c r="O197" s="90">
        <f>ROUND(VLOOKUP(A197,'Contribution Allocation_Report'!$A$9:$D$310,4,FALSE)*'OPEB Amounts_Report'!$O$323,0)</f>
        <v>-95247</v>
      </c>
      <c r="P197" s="90">
        <f>INDEX('Change in Proportion Layers'!$X$8:$X$321,MATCH('OPEB Amounts_Report'!A197,'Change in Proportion Layers'!$A$8:$A$321,0))</f>
        <v>38861</v>
      </c>
      <c r="Q197" s="90">
        <f t="shared" si="8"/>
        <v>-56386</v>
      </c>
    </row>
    <row r="198" spans="1:17" ht="12" customHeight="1">
      <c r="A198" s="62">
        <v>32118</v>
      </c>
      <c r="B198" s="66" t="s">
        <v>187</v>
      </c>
      <c r="C198" s="70">
        <f>ROUND(VLOOKUP(A198,'Contribution Allocation_Report'!$A$9:$D$310,4,FALSE)*'OPEB Amounts_Report'!$C$323,0)</f>
        <v>3067264</v>
      </c>
      <c r="D198" s="70">
        <f>ROUND(VLOOKUP(A198,'Contribution Allocation_Report'!$A$9:$D$310,4,FALSE)*'OPEB Amounts_Report'!$D$323,0)</f>
        <v>44847</v>
      </c>
      <c r="E198" s="70">
        <f>ROUND(VLOOKUP(A198,'Contribution Allocation_Report'!$A$9:$D$310,4,FALSE)*'OPEB Amounts_Report'!$E$323,0)</f>
        <v>614095</v>
      </c>
      <c r="F198" s="70">
        <f>INDEX('Change in Proportion Layers'!$Z$8:$Z$321,MATCH('OPEB Amounts_Report'!A198,'Change in Proportion Layers'!$A$8:$A$321,0))</f>
        <v>2688505</v>
      </c>
      <c r="G198" s="70">
        <f t="shared" si="6"/>
        <v>3347447</v>
      </c>
      <c r="H198" s="70"/>
      <c r="I198" s="70">
        <f>ROUND(VLOOKUP(A198,'Contribution Allocation_Report'!$A$9:$D$310,4,FALSE)*'OPEB Amounts_Report'!$I$323,0)</f>
        <v>489165</v>
      </c>
      <c r="J198" s="70">
        <f>ROUND(VLOOKUP(A198,'Contribution Allocation_Report'!$A$9:$D$310,4,FALSE)*'OPEB Amounts_Report'!$J$323,0)</f>
        <v>87921</v>
      </c>
      <c r="K198" s="70">
        <f>ROUND(VLOOKUP(A198,'Contribution Allocation_Report'!$A$9:$D$310,4,FALSE)*'OPEB Amounts_Report'!$K$323,0)</f>
        <v>1108925</v>
      </c>
      <c r="L198" s="296">
        <f>INDEX('Change in Proportion Layers'!$AA$8:$AA$321,MATCH('OPEB Amounts_Report'!A198,'Change in Proportion Layers'!$A$8:$A$321,0))</f>
        <v>0</v>
      </c>
      <c r="M198" s="70">
        <f t="shared" si="7"/>
        <v>1686011</v>
      </c>
      <c r="N198" s="71"/>
      <c r="O198" s="71">
        <f>ROUND(VLOOKUP(A198,'Contribution Allocation_Report'!$A$9:$D$310,4,FALSE)*'OPEB Amounts_Report'!$O$323,0)</f>
        <v>-330319</v>
      </c>
      <c r="P198" s="71">
        <f>INDEX('Change in Proportion Layers'!$X$8:$X$321,MATCH('OPEB Amounts_Report'!A198,'Change in Proportion Layers'!$A$8:$A$321,0))</f>
        <v>679695</v>
      </c>
      <c r="Q198" s="71">
        <f t="shared" si="8"/>
        <v>349376</v>
      </c>
    </row>
    <row r="199" spans="1:17" ht="12" customHeight="1">
      <c r="A199" s="254">
        <v>12039</v>
      </c>
      <c r="B199" s="255" t="s">
        <v>188</v>
      </c>
      <c r="C199" s="89">
        <f>ROUND(VLOOKUP(A199,'Contribution Allocation_Report'!$A$9:$D$310,4,FALSE)*'OPEB Amounts_Report'!$C$323,0)</f>
        <v>2880372</v>
      </c>
      <c r="D199" s="89">
        <f>ROUND(VLOOKUP(A199,'Contribution Allocation_Report'!$A$9:$D$310,4,FALSE)*'OPEB Amounts_Report'!$D$323,0)</f>
        <v>42115</v>
      </c>
      <c r="E199" s="89">
        <f>ROUND(VLOOKUP(A199,'Contribution Allocation_Report'!$A$9:$D$310,4,FALSE)*'OPEB Amounts_Report'!$E$323,0)</f>
        <v>576677</v>
      </c>
      <c r="F199" s="89">
        <f>INDEX('Change in Proportion Layers'!$Z$8:$Z$321,MATCH('OPEB Amounts_Report'!A199,'Change in Proportion Layers'!$A$8:$A$321,0))</f>
        <v>16393</v>
      </c>
      <c r="G199" s="89">
        <f t="shared" si="6"/>
        <v>635185</v>
      </c>
      <c r="H199" s="89"/>
      <c r="I199" s="89">
        <f>ROUND(VLOOKUP(A199,'Contribution Allocation_Report'!$A$9:$D$310,4,FALSE)*'OPEB Amounts_Report'!$I$323,0)</f>
        <v>459359</v>
      </c>
      <c r="J199" s="89">
        <f>ROUND(VLOOKUP(A199,'Contribution Allocation_Report'!$A$9:$D$310,4,FALSE)*'OPEB Amounts_Report'!$J$323,0)</f>
        <v>82563</v>
      </c>
      <c r="K199" s="89">
        <f>ROUND(VLOOKUP(A199,'Contribution Allocation_Report'!$A$9:$D$310,4,FALSE)*'OPEB Amounts_Report'!$K$323,0)</f>
        <v>1041357</v>
      </c>
      <c r="L199" s="297">
        <f>INDEX('Change in Proportion Layers'!$AA$8:$AA$321,MATCH('OPEB Amounts_Report'!A199,'Change in Proportion Layers'!$A$8:$A$321,0))</f>
        <v>431419</v>
      </c>
      <c r="M199" s="89">
        <f t="shared" si="7"/>
        <v>2014698</v>
      </c>
      <c r="N199" s="90"/>
      <c r="O199" s="90">
        <f>ROUND(VLOOKUP(A199,'Contribution Allocation_Report'!$A$9:$D$310,4,FALSE)*'OPEB Amounts_Report'!$O$323,0)</f>
        <v>-310192</v>
      </c>
      <c r="P199" s="90">
        <f>INDEX('Change in Proportion Layers'!$X$8:$X$321,MATCH('OPEB Amounts_Report'!A199,'Change in Proportion Layers'!$A$8:$A$321,0))</f>
        <v>-97106</v>
      </c>
      <c r="Q199" s="90">
        <f t="shared" si="8"/>
        <v>-407298</v>
      </c>
    </row>
    <row r="200" spans="1:17" ht="12" customHeight="1">
      <c r="A200" s="62">
        <v>12150</v>
      </c>
      <c r="B200" s="66" t="s">
        <v>189</v>
      </c>
      <c r="C200" s="70">
        <f>ROUND(VLOOKUP(A200,'Contribution Allocation_Report'!$A$9:$D$310,4,FALSE)*'OPEB Amounts_Report'!$C$323,0)</f>
        <v>558701</v>
      </c>
      <c r="D200" s="70">
        <f>ROUND(VLOOKUP(A200,'Contribution Allocation_Report'!$A$9:$D$310,4,FALSE)*'OPEB Amounts_Report'!$D$323,0)</f>
        <v>8169</v>
      </c>
      <c r="E200" s="70">
        <f>ROUND(VLOOKUP(A200,'Contribution Allocation_Report'!$A$9:$D$310,4,FALSE)*'OPEB Amounts_Report'!$E$323,0)</f>
        <v>111857</v>
      </c>
      <c r="F200" s="70">
        <f>INDEX('Change in Proportion Layers'!$Z$8:$Z$321,MATCH('OPEB Amounts_Report'!A200,'Change in Proportion Layers'!$A$8:$A$321,0))</f>
        <v>141539</v>
      </c>
      <c r="G200" s="70">
        <f t="shared" si="6"/>
        <v>261565</v>
      </c>
      <c r="H200" s="70"/>
      <c r="I200" s="70">
        <f>ROUND(VLOOKUP(A200,'Contribution Allocation_Report'!$A$9:$D$310,4,FALSE)*'OPEB Amounts_Report'!$I$323,0)</f>
        <v>89101</v>
      </c>
      <c r="J200" s="70">
        <f>ROUND(VLOOKUP(A200,'Contribution Allocation_Report'!$A$9:$D$310,4,FALSE)*'OPEB Amounts_Report'!$J$323,0)</f>
        <v>16015</v>
      </c>
      <c r="K200" s="70">
        <f>ROUND(VLOOKUP(A200,'Contribution Allocation_Report'!$A$9:$D$310,4,FALSE)*'OPEB Amounts_Report'!$K$323,0)</f>
        <v>201990</v>
      </c>
      <c r="L200" s="296">
        <f>INDEX('Change in Proportion Layers'!$AA$8:$AA$321,MATCH('OPEB Amounts_Report'!A200,'Change in Proportion Layers'!$A$8:$A$321,0))</f>
        <v>77036</v>
      </c>
      <c r="M200" s="70">
        <f t="shared" si="7"/>
        <v>384142</v>
      </c>
      <c r="N200" s="71"/>
      <c r="O200" s="71">
        <f>ROUND(VLOOKUP(A200,'Contribution Allocation_Report'!$A$9:$D$310,4,FALSE)*'OPEB Amounts_Report'!$O$323,0)</f>
        <v>-60167</v>
      </c>
      <c r="P200" s="71">
        <f>INDEX('Change in Proportion Layers'!$X$8:$X$321,MATCH('OPEB Amounts_Report'!A200,'Change in Proportion Layers'!$A$8:$A$321,0))</f>
        <v>45362</v>
      </c>
      <c r="Q200" s="71">
        <f t="shared" si="8"/>
        <v>-14805</v>
      </c>
    </row>
    <row r="201" spans="1:17" ht="12" customHeight="1">
      <c r="A201" s="254">
        <v>20060</v>
      </c>
      <c r="B201" s="255" t="s">
        <v>190</v>
      </c>
      <c r="C201" s="89">
        <f>ROUND(VLOOKUP(A201,'Contribution Allocation_Report'!$A$9:$D$310,4,FALSE)*'OPEB Amounts_Report'!$C$323,0)</f>
        <v>2043965</v>
      </c>
      <c r="D201" s="89">
        <f>ROUND(VLOOKUP(A201,'Contribution Allocation_Report'!$A$9:$D$310,4,FALSE)*'OPEB Amounts_Report'!$D$323,0)</f>
        <v>29885</v>
      </c>
      <c r="E201" s="89">
        <f>ROUND(VLOOKUP(A201,'Contribution Allocation_Report'!$A$9:$D$310,4,FALSE)*'OPEB Amounts_Report'!$E$323,0)</f>
        <v>409221</v>
      </c>
      <c r="F201" s="89">
        <f>INDEX('Change in Proportion Layers'!$Z$8:$Z$321,MATCH('OPEB Amounts_Report'!A201,'Change in Proportion Layers'!$A$8:$A$321,0))</f>
        <v>613923</v>
      </c>
      <c r="G201" s="89">
        <f t="shared" si="6"/>
        <v>1053029</v>
      </c>
      <c r="H201" s="89"/>
      <c r="I201" s="89">
        <f>ROUND(VLOOKUP(A201,'Contribution Allocation_Report'!$A$9:$D$310,4,FALSE)*'OPEB Amounts_Report'!$I$323,0)</f>
        <v>325970</v>
      </c>
      <c r="J201" s="89">
        <f>ROUND(VLOOKUP(A201,'Contribution Allocation_Report'!$A$9:$D$310,4,FALSE)*'OPEB Amounts_Report'!$J$323,0)</f>
        <v>58589</v>
      </c>
      <c r="K201" s="89">
        <f>ROUND(VLOOKUP(A201,'Contribution Allocation_Report'!$A$9:$D$310,4,FALSE)*'OPEB Amounts_Report'!$K$323,0)</f>
        <v>738966</v>
      </c>
      <c r="L201" s="297">
        <f>INDEX('Change in Proportion Layers'!$AA$8:$AA$321,MATCH('OPEB Amounts_Report'!A201,'Change in Proportion Layers'!$A$8:$A$321,0))</f>
        <v>714125</v>
      </c>
      <c r="M201" s="89">
        <f t="shared" si="7"/>
        <v>1837650</v>
      </c>
      <c r="N201" s="90"/>
      <c r="O201" s="90">
        <f>ROUND(VLOOKUP(A201,'Contribution Allocation_Report'!$A$9:$D$310,4,FALSE)*'OPEB Amounts_Report'!$O$323,0)</f>
        <v>-220118</v>
      </c>
      <c r="P201" s="90">
        <f>INDEX('Change in Proportion Layers'!$X$8:$X$321,MATCH('OPEB Amounts_Report'!A201,'Change in Proportion Layers'!$A$8:$A$321,0))</f>
        <v>120577</v>
      </c>
      <c r="Q201" s="90">
        <f t="shared" si="8"/>
        <v>-99541</v>
      </c>
    </row>
    <row r="202" spans="1:17" ht="12" customHeight="1">
      <c r="A202" s="62">
        <v>1001</v>
      </c>
      <c r="B202" s="63" t="s">
        <v>191</v>
      </c>
      <c r="C202" s="171">
        <f>ROUND(VLOOKUP(A202,'Contribution Allocation_Report'!$A$9:$D$310,4,FALSE)*'OPEB Amounts_Report'!$C$323,0)</f>
        <v>5668615</v>
      </c>
      <c r="D202" s="171">
        <f>ROUND(VLOOKUP(A202,'Contribution Allocation_Report'!$A$9:$D$310,4,FALSE)*'OPEB Amounts_Report'!$D$323,0)</f>
        <v>82883</v>
      </c>
      <c r="E202" s="171">
        <f>ROUND(VLOOKUP(A202,'Contribution Allocation_Report'!$A$9:$D$310,4,FALSE)*'OPEB Amounts_Report'!$E$323,0)</f>
        <v>1134909</v>
      </c>
      <c r="F202" s="171">
        <f>INDEX('Change in Proportion Layers'!$Z$8:$Z$321,MATCH('OPEB Amounts_Report'!A202,'Change in Proportion Layers'!$A$8:$A$321,0))</f>
        <v>626803</v>
      </c>
      <c r="G202" s="171">
        <f t="shared" ref="G202:G266" si="9">SUM(D202:F202)</f>
        <v>1844595</v>
      </c>
      <c r="H202" s="171"/>
      <c r="I202" s="171">
        <f>ROUND(VLOOKUP(A202,'Contribution Allocation_Report'!$A$9:$D$310,4,FALSE)*'OPEB Amounts_Report'!$I$323,0)</f>
        <v>904026</v>
      </c>
      <c r="J202" s="171">
        <f>ROUND(VLOOKUP(A202,'Contribution Allocation_Report'!$A$9:$D$310,4,FALSE)*'OPEB Amounts_Report'!$J$323,0)</f>
        <v>162486</v>
      </c>
      <c r="K202" s="171">
        <f>ROUND(VLOOKUP(A202,'Contribution Allocation_Report'!$A$9:$D$310,4,FALSE)*'OPEB Amounts_Report'!$K$323,0)</f>
        <v>2049405</v>
      </c>
      <c r="L202" s="173">
        <f>INDEX('Change in Proportion Layers'!$AA$8:$AA$321,MATCH('OPEB Amounts_Report'!A202,'Change in Proportion Layers'!$A$8:$A$321,0))</f>
        <v>2828682</v>
      </c>
      <c r="M202" s="171">
        <f t="shared" ref="M202:M266" si="10">SUM(I202:L202)</f>
        <v>5944599</v>
      </c>
      <c r="N202" s="172"/>
      <c r="O202" s="172">
        <f>ROUND(VLOOKUP(A202,'Contribution Allocation_Report'!$A$9:$D$310,4,FALSE)*'OPEB Amounts_Report'!$O$323,0)</f>
        <v>-610462</v>
      </c>
      <c r="P202" s="172">
        <f>INDEX('Change in Proportion Layers'!$X$8:$X$321,MATCH('OPEB Amounts_Report'!A202,'Change in Proportion Layers'!$A$8:$A$321,0))</f>
        <v>-320298</v>
      </c>
      <c r="Q202" s="172">
        <f t="shared" si="8"/>
        <v>-930760</v>
      </c>
    </row>
    <row r="203" spans="1:17" ht="12" customHeight="1">
      <c r="A203" s="254">
        <v>11035</v>
      </c>
      <c r="B203" s="255" t="s">
        <v>192</v>
      </c>
      <c r="C203" s="89">
        <f>ROUND(VLOOKUP(A203,'Contribution Allocation_Report'!$A$9:$D$310,4,FALSE)*'OPEB Amounts_Report'!$C$323,0)</f>
        <v>13095263</v>
      </c>
      <c r="D203" s="89">
        <f>ROUND(VLOOKUP(A203,'Contribution Allocation_Report'!$A$9:$D$310,4,FALSE)*'OPEB Amounts_Report'!$D$323,0)</f>
        <v>191470</v>
      </c>
      <c r="E203" s="89">
        <f>ROUND(VLOOKUP(A203,'Contribution Allocation_Report'!$A$9:$D$310,4,FALSE)*'OPEB Amounts_Report'!$E$323,0)</f>
        <v>2621793</v>
      </c>
      <c r="F203" s="89">
        <f>INDEX('Change in Proportion Layers'!$Z$8:$Z$321,MATCH('OPEB Amounts_Report'!A203,'Change in Proportion Layers'!$A$8:$A$321,0))</f>
        <v>1615629</v>
      </c>
      <c r="G203" s="89">
        <f t="shared" si="9"/>
        <v>4428892</v>
      </c>
      <c r="H203" s="89"/>
      <c r="I203" s="89">
        <f>ROUND(VLOOKUP(A203,'Contribution Allocation_Report'!$A$9:$D$310,4,FALSE)*'OPEB Amounts_Report'!$I$323,0)</f>
        <v>2088422</v>
      </c>
      <c r="J203" s="89">
        <f>ROUND(VLOOKUP(A203,'Contribution Allocation_Report'!$A$9:$D$310,4,FALSE)*'OPEB Amounts_Report'!$J$323,0)</f>
        <v>375365</v>
      </c>
      <c r="K203" s="89">
        <f>ROUND(VLOOKUP(A203,'Contribution Allocation_Report'!$A$9:$D$310,4,FALSE)*'OPEB Amounts_Report'!$K$323,0)</f>
        <v>4734402</v>
      </c>
      <c r="L203" s="89">
        <f>INDEX('Change in Proportion Layers'!$AA$8:$AA$321,MATCH('OPEB Amounts_Report'!A203,'Change in Proportion Layers'!$A$8:$A$321,0))</f>
        <v>93509</v>
      </c>
      <c r="M203" s="89">
        <f t="shared" si="10"/>
        <v>7291698</v>
      </c>
      <c r="N203" s="90"/>
      <c r="O203" s="90">
        <f>ROUND(VLOOKUP(A203,'Contribution Allocation_Report'!$A$9:$D$310,4,FALSE)*'OPEB Amounts_Report'!$O$323,0)</f>
        <v>-1410250</v>
      </c>
      <c r="P203" s="90">
        <f>INDEX('Change in Proportion Layers'!$X$8:$X$321,MATCH('OPEB Amounts_Report'!A203,'Change in Proportion Layers'!$A$8:$A$321,0))</f>
        <v>388231</v>
      </c>
      <c r="Q203" s="90">
        <f t="shared" ref="Q203:Q266" si="11">+O203+P203</f>
        <v>-1022019</v>
      </c>
    </row>
    <row r="204" spans="1:17" ht="12" customHeight="1">
      <c r="A204" s="62">
        <v>2320</v>
      </c>
      <c r="B204" s="66" t="s">
        <v>193</v>
      </c>
      <c r="C204" s="70">
        <f>ROUND(VLOOKUP(A204,'Contribution Allocation_Report'!$A$9:$D$310,4,FALSE)*'OPEB Amounts_Report'!$C$323,0)</f>
        <v>1573116</v>
      </c>
      <c r="D204" s="70">
        <f>ROUND(VLOOKUP(A204,'Contribution Allocation_Report'!$A$9:$D$310,4,FALSE)*'OPEB Amounts_Report'!$D$323,0)</f>
        <v>23001</v>
      </c>
      <c r="E204" s="70">
        <f>ROUND(VLOOKUP(A204,'Contribution Allocation_Report'!$A$9:$D$310,4,FALSE)*'OPEB Amounts_Report'!$E$323,0)</f>
        <v>314952</v>
      </c>
      <c r="F204" s="70">
        <f>INDEX('Change in Proportion Layers'!$Z$8:$Z$321,MATCH('OPEB Amounts_Report'!A204,'Change in Proportion Layers'!$A$8:$A$321,0))</f>
        <v>71991</v>
      </c>
      <c r="G204" s="70">
        <f t="shared" si="9"/>
        <v>409944</v>
      </c>
      <c r="H204" s="70"/>
      <c r="I204" s="70">
        <f>ROUND(VLOOKUP(A204,'Contribution Allocation_Report'!$A$9:$D$310,4,FALSE)*'OPEB Amounts_Report'!$I$323,0)</f>
        <v>250879</v>
      </c>
      <c r="J204" s="70">
        <f>ROUND(VLOOKUP(A204,'Contribution Allocation_Report'!$A$9:$D$310,4,FALSE)*'OPEB Amounts_Report'!$J$323,0)</f>
        <v>45092</v>
      </c>
      <c r="K204" s="70">
        <f>ROUND(VLOOKUP(A204,'Contribution Allocation_Report'!$A$9:$D$310,4,FALSE)*'OPEB Amounts_Report'!$K$323,0)</f>
        <v>568737</v>
      </c>
      <c r="L204" s="70">
        <f>INDEX('Change in Proportion Layers'!$AA$8:$AA$321,MATCH('OPEB Amounts_Report'!A204,'Change in Proportion Layers'!$A$8:$A$321,0))</f>
        <v>31728</v>
      </c>
      <c r="M204" s="70">
        <f t="shared" si="10"/>
        <v>896436</v>
      </c>
      <c r="N204" s="71"/>
      <c r="O204" s="71">
        <f>ROUND(VLOOKUP(A204,'Contribution Allocation_Report'!$A$9:$D$310,4,FALSE)*'OPEB Amounts_Report'!$O$323,0)</f>
        <v>-169411</v>
      </c>
      <c r="P204" s="71">
        <f>INDEX('Change in Proportion Layers'!$X$8:$X$321,MATCH('OPEB Amounts_Report'!A204,'Change in Proportion Layers'!$A$8:$A$321,0))</f>
        <v>3126</v>
      </c>
      <c r="Q204" s="71">
        <f t="shared" si="11"/>
        <v>-166285</v>
      </c>
    </row>
    <row r="205" spans="1:17" ht="12" customHeight="1">
      <c r="A205" s="254">
        <v>28084</v>
      </c>
      <c r="B205" s="255" t="s">
        <v>194</v>
      </c>
      <c r="C205" s="89">
        <f>ROUND(VLOOKUP(A205,'Contribution Allocation_Report'!$A$9:$D$310,4,FALSE)*'OPEB Amounts_Report'!$C$323,0)</f>
        <v>1243752</v>
      </c>
      <c r="D205" s="89">
        <f>ROUND(VLOOKUP(A205,'Contribution Allocation_Report'!$A$9:$D$310,4,FALSE)*'OPEB Amounts_Report'!$D$323,0)</f>
        <v>18185</v>
      </c>
      <c r="E205" s="89">
        <f>ROUND(VLOOKUP(A205,'Contribution Allocation_Report'!$A$9:$D$310,4,FALSE)*'OPEB Amounts_Report'!$E$323,0)</f>
        <v>249011</v>
      </c>
      <c r="F205" s="89">
        <f>INDEX('Change in Proportion Layers'!$Z$8:$Z$321,MATCH('OPEB Amounts_Report'!A205,'Change in Proportion Layers'!$A$8:$A$321,0))</f>
        <v>102618</v>
      </c>
      <c r="G205" s="89">
        <f t="shared" si="9"/>
        <v>369814</v>
      </c>
      <c r="H205" s="89"/>
      <c r="I205" s="89">
        <f>ROUND(VLOOKUP(A205,'Contribution Allocation_Report'!$A$9:$D$310,4,FALSE)*'OPEB Amounts_Report'!$I$323,0)</f>
        <v>198353</v>
      </c>
      <c r="J205" s="89">
        <f>ROUND(VLOOKUP(A205,'Contribution Allocation_Report'!$A$9:$D$310,4,FALSE)*'OPEB Amounts_Report'!$J$323,0)</f>
        <v>35651</v>
      </c>
      <c r="K205" s="89">
        <f>ROUND(VLOOKUP(A205,'Contribution Allocation_Report'!$A$9:$D$310,4,FALSE)*'OPEB Amounts_Report'!$K$323,0)</f>
        <v>449661</v>
      </c>
      <c r="L205" s="89">
        <f>INDEX('Change in Proportion Layers'!$AA$8:$AA$321,MATCH('OPEB Amounts_Report'!A205,'Change in Proportion Layers'!$A$8:$A$321,0))</f>
        <v>27919</v>
      </c>
      <c r="M205" s="89">
        <f t="shared" si="10"/>
        <v>711584</v>
      </c>
      <c r="N205" s="90"/>
      <c r="O205" s="90">
        <f>ROUND(VLOOKUP(A205,'Contribution Allocation_Report'!$A$9:$D$310,4,FALSE)*'OPEB Amounts_Report'!$O$323,0)</f>
        <v>-133942</v>
      </c>
      <c r="P205" s="90">
        <f>INDEX('Change in Proportion Layers'!$X$8:$X$321,MATCH('OPEB Amounts_Report'!A205,'Change in Proportion Layers'!$A$8:$A$321,0))</f>
        <v>19063</v>
      </c>
      <c r="Q205" s="90">
        <f t="shared" si="11"/>
        <v>-114879</v>
      </c>
    </row>
    <row r="206" spans="1:17" ht="12" customHeight="1">
      <c r="A206" s="62">
        <v>20125</v>
      </c>
      <c r="B206" s="66" t="s">
        <v>195</v>
      </c>
      <c r="C206" s="70">
        <f>ROUND(VLOOKUP(A206,'Contribution Allocation_Report'!$A$9:$D$310,4,FALSE)*'OPEB Amounts_Report'!$C$323,0)</f>
        <v>1454006</v>
      </c>
      <c r="D206" s="70">
        <f>ROUND(VLOOKUP(A206,'Contribution Allocation_Report'!$A$9:$D$310,4,FALSE)*'OPEB Amounts_Report'!$D$323,0)</f>
        <v>21259</v>
      </c>
      <c r="E206" s="70">
        <f>ROUND(VLOOKUP(A206,'Contribution Allocation_Report'!$A$9:$D$310,4,FALSE)*'OPEB Amounts_Report'!$E$323,0)</f>
        <v>291105</v>
      </c>
      <c r="F206" s="70">
        <f>INDEX('Change in Proportion Layers'!$Z$8:$Z$321,MATCH('OPEB Amounts_Report'!A206,'Change in Proportion Layers'!$A$8:$A$321,0))</f>
        <v>0</v>
      </c>
      <c r="G206" s="70">
        <f t="shared" si="9"/>
        <v>312364</v>
      </c>
      <c r="H206" s="70"/>
      <c r="I206" s="70">
        <f>ROUND(VLOOKUP(A206,'Contribution Allocation_Report'!$A$9:$D$310,4,FALSE)*'OPEB Amounts_Report'!$I$323,0)</f>
        <v>231884</v>
      </c>
      <c r="J206" s="70">
        <f>ROUND(VLOOKUP(A206,'Contribution Allocation_Report'!$A$9:$D$310,4,FALSE)*'OPEB Amounts_Report'!$J$323,0)</f>
        <v>41678</v>
      </c>
      <c r="K206" s="70">
        <f>ROUND(VLOOKUP(A206,'Contribution Allocation_Report'!$A$9:$D$310,4,FALSE)*'OPEB Amounts_Report'!$K$323,0)</f>
        <v>525675</v>
      </c>
      <c r="L206" s="70">
        <f>INDEX('Change in Proportion Layers'!$AA$8:$AA$321,MATCH('OPEB Amounts_Report'!A206,'Change in Proportion Layers'!$A$8:$A$321,0))</f>
        <v>698219</v>
      </c>
      <c r="M206" s="70">
        <f t="shared" si="10"/>
        <v>1497456</v>
      </c>
      <c r="N206" s="71"/>
      <c r="O206" s="71">
        <f>ROUND(VLOOKUP(A206,'Contribution Allocation_Report'!$A$9:$D$310,4,FALSE)*'OPEB Amounts_Report'!$O$323,0)</f>
        <v>-156584</v>
      </c>
      <c r="P206" s="71">
        <f>INDEX('Change in Proportion Layers'!$X$8:$X$321,MATCH('OPEB Amounts_Report'!A206,'Change in Proportion Layers'!$A$8:$A$321,0))</f>
        <v>-199717</v>
      </c>
      <c r="Q206" s="71">
        <f t="shared" si="11"/>
        <v>-356301</v>
      </c>
    </row>
    <row r="207" spans="1:17" s="205" customFormat="1" ht="12" customHeight="1">
      <c r="A207" s="254">
        <v>7445</v>
      </c>
      <c r="B207" s="255" t="s">
        <v>430</v>
      </c>
      <c r="C207" s="89">
        <f>ROUND(VLOOKUP(A207,'Contribution Allocation_Report'!$A$9:$D$310,4,FALSE)*'OPEB Amounts_Report'!$C$323,0)</f>
        <v>332654</v>
      </c>
      <c r="D207" s="89">
        <f>ROUND(VLOOKUP(A207,'Contribution Allocation_Report'!$A$9:$D$310,4,FALSE)*'OPEB Amounts_Report'!$D$323,0)</f>
        <v>4864</v>
      </c>
      <c r="E207" s="89">
        <f>ROUND(VLOOKUP(A207,'Contribution Allocation_Report'!$A$9:$D$310,4,FALSE)*'OPEB Amounts_Report'!$E$323,0)</f>
        <v>66600</v>
      </c>
      <c r="F207" s="89">
        <f>INDEX('Change in Proportion Layers'!$Z$8:$Z$321,MATCH('OPEB Amounts_Report'!A207,'Change in Proportion Layers'!$A$8:$A$321,0))</f>
        <v>375379</v>
      </c>
      <c r="G207" s="89">
        <f t="shared" si="9"/>
        <v>446843</v>
      </c>
      <c r="H207" s="89"/>
      <c r="I207" s="89">
        <f>ROUND(VLOOKUP(A207,'Contribution Allocation_Report'!$A$9:$D$310,4,FALSE)*'OPEB Amounts_Report'!$I$323,0)</f>
        <v>53051</v>
      </c>
      <c r="J207" s="89">
        <f>ROUND(VLOOKUP(A207,'Contribution Allocation_Report'!$A$9:$D$310,4,FALSE)*'OPEB Amounts_Report'!$J$323,0)</f>
        <v>9535</v>
      </c>
      <c r="K207" s="89">
        <f>ROUND(VLOOKUP(A207,'Contribution Allocation_Report'!$A$9:$D$310,4,FALSE)*'OPEB Amounts_Report'!$K$323,0)</f>
        <v>120266</v>
      </c>
      <c r="L207" s="89">
        <f>INDEX('Change in Proportion Layers'!$AA$8:$AA$321,MATCH('OPEB Amounts_Report'!A207,'Change in Proportion Layers'!$A$8:$A$321,0))</f>
        <v>0</v>
      </c>
      <c r="M207" s="89">
        <f t="shared" si="10"/>
        <v>182852</v>
      </c>
      <c r="N207" s="90"/>
      <c r="O207" s="90">
        <f>ROUND(VLOOKUP(A207,'Contribution Allocation_Report'!$A$9:$D$310,4,FALSE)*'OPEB Amounts_Report'!$O$323,0)</f>
        <v>-35824</v>
      </c>
      <c r="P207" s="90">
        <f>INDEX('Change in Proportion Layers'!$X$8:$X$321,MATCH('OPEB Amounts_Report'!A207,'Change in Proportion Layers'!$A$8:$A$321,0))</f>
        <v>84447</v>
      </c>
      <c r="Q207" s="90">
        <f t="shared" si="11"/>
        <v>48623</v>
      </c>
    </row>
    <row r="208" spans="1:17" ht="12" customHeight="1">
      <c r="A208" s="62">
        <v>4170</v>
      </c>
      <c r="B208" s="66" t="s">
        <v>196</v>
      </c>
      <c r="C208" s="70">
        <f>ROUND(VLOOKUP(A208,'Contribution Allocation_Report'!$A$9:$D$310,4,FALSE)*'OPEB Amounts_Report'!$C$323,0)</f>
        <v>71072</v>
      </c>
      <c r="D208" s="70">
        <f>ROUND(VLOOKUP(A208,'Contribution Allocation_Report'!$A$9:$D$310,4,FALSE)*'OPEB Amounts_Report'!$D$323,0)</f>
        <v>1039</v>
      </c>
      <c r="E208" s="70">
        <f>ROUND(VLOOKUP(A208,'Contribution Allocation_Report'!$A$9:$D$310,4,FALSE)*'OPEB Amounts_Report'!$E$323,0)</f>
        <v>14229</v>
      </c>
      <c r="F208" s="296">
        <f>INDEX('Change in Proportion Layers'!$Z$8:$Z$321,MATCH('OPEB Amounts_Report'!A208,'Change in Proportion Layers'!$A$8:$A$321,0))</f>
        <v>29456</v>
      </c>
      <c r="G208" s="70">
        <f t="shared" si="9"/>
        <v>44724</v>
      </c>
      <c r="H208" s="70"/>
      <c r="I208" s="70">
        <f>ROUND(VLOOKUP(A208,'Contribution Allocation_Report'!$A$9:$D$310,4,FALSE)*'OPEB Amounts_Report'!$I$323,0)</f>
        <v>11334</v>
      </c>
      <c r="J208" s="70">
        <f>ROUND(VLOOKUP(A208,'Contribution Allocation_Report'!$A$9:$D$310,4,FALSE)*'OPEB Amounts_Report'!$J$323,0)</f>
        <v>2037</v>
      </c>
      <c r="K208" s="70">
        <f>ROUND(VLOOKUP(A208,'Contribution Allocation_Report'!$A$9:$D$310,4,FALSE)*'OPEB Amounts_Report'!$K$323,0)</f>
        <v>25695</v>
      </c>
      <c r="L208" s="70">
        <f>INDEX('Change in Proportion Layers'!$AA$8:$AA$321,MATCH('OPEB Amounts_Report'!A208,'Change in Proportion Layers'!$A$8:$A$321,0))</f>
        <v>233690</v>
      </c>
      <c r="M208" s="70">
        <f t="shared" si="10"/>
        <v>272756</v>
      </c>
      <c r="N208" s="71"/>
      <c r="O208" s="71">
        <f>ROUND(VLOOKUP(A208,'Contribution Allocation_Report'!$A$9:$D$310,4,FALSE)*'OPEB Amounts_Report'!$O$323,0)</f>
        <v>-7654</v>
      </c>
      <c r="P208" s="71">
        <f>INDEX('Change in Proportion Layers'!$X$8:$X$321,MATCH('OPEB Amounts_Report'!A208,'Change in Proportion Layers'!$A$8:$A$321,0))</f>
        <v>-41816</v>
      </c>
      <c r="Q208" s="71">
        <f t="shared" si="11"/>
        <v>-49470</v>
      </c>
    </row>
    <row r="209" spans="1:17" ht="12" customHeight="1">
      <c r="A209" s="254">
        <v>9029</v>
      </c>
      <c r="B209" s="255" t="s">
        <v>197</v>
      </c>
      <c r="C209" s="89">
        <f>ROUND(VLOOKUP(A209,'Contribution Allocation_Report'!$A$9:$D$310,4,FALSE)*'OPEB Amounts_Report'!$C$323,0)</f>
        <v>3860238</v>
      </c>
      <c r="D209" s="89">
        <f>ROUND(VLOOKUP(A209,'Contribution Allocation_Report'!$A$9:$D$310,4,FALSE)*'OPEB Amounts_Report'!$D$323,0)</f>
        <v>56442</v>
      </c>
      <c r="E209" s="89">
        <f>ROUND(VLOOKUP(A209,'Contribution Allocation_Report'!$A$9:$D$310,4,FALSE)*'OPEB Amounts_Report'!$E$323,0)</f>
        <v>772855</v>
      </c>
      <c r="F209" s="89">
        <f>INDEX('Change in Proportion Layers'!$Z$8:$Z$321,MATCH('OPEB Amounts_Report'!A209,'Change in Proportion Layers'!$A$8:$A$321,0))</f>
        <v>765454</v>
      </c>
      <c r="G209" s="89">
        <f t="shared" si="9"/>
        <v>1594751</v>
      </c>
      <c r="H209" s="89"/>
      <c r="I209" s="89">
        <f>ROUND(VLOOKUP(A209,'Contribution Allocation_Report'!$A$9:$D$310,4,FALSE)*'OPEB Amounts_Report'!$I$323,0)</f>
        <v>615628</v>
      </c>
      <c r="J209" s="89">
        <f>ROUND(VLOOKUP(A209,'Contribution Allocation_Report'!$A$9:$D$310,4,FALSE)*'OPEB Amounts_Report'!$J$323,0)</f>
        <v>110650</v>
      </c>
      <c r="K209" s="89">
        <f>ROUND(VLOOKUP(A209,'Contribution Allocation_Report'!$A$9:$D$310,4,FALSE)*'OPEB Amounts_Report'!$K$323,0)</f>
        <v>1395613</v>
      </c>
      <c r="L209" s="297">
        <f>INDEX('Change in Proportion Layers'!$AA$8:$AA$321,MATCH('OPEB Amounts_Report'!A209,'Change in Proportion Layers'!$A$8:$A$321,0))</f>
        <v>759892</v>
      </c>
      <c r="M209" s="89">
        <f t="shared" si="10"/>
        <v>2881783</v>
      </c>
      <c r="N209" s="90"/>
      <c r="O209" s="90">
        <f>ROUND(VLOOKUP(A209,'Contribution Allocation_Report'!$A$9:$D$310,4,FALSE)*'OPEB Amounts_Report'!$O$323,0)</f>
        <v>-415715</v>
      </c>
      <c r="P209" s="90">
        <f>INDEX('Change in Proportion Layers'!$X$8:$X$321,MATCH('OPEB Amounts_Report'!A209,'Change in Proportion Layers'!$A$8:$A$321,0))</f>
        <v>-152684</v>
      </c>
      <c r="Q209" s="90">
        <f t="shared" si="11"/>
        <v>-568399</v>
      </c>
    </row>
    <row r="210" spans="1:17" ht="12" customHeight="1">
      <c r="A210" s="62">
        <v>2580</v>
      </c>
      <c r="B210" s="66" t="s">
        <v>198</v>
      </c>
      <c r="C210" s="70">
        <f>ROUND(VLOOKUP(A210,'Contribution Allocation_Report'!$A$9:$D$310,4,FALSE)*'OPEB Amounts_Report'!$C$323,0)</f>
        <v>559030</v>
      </c>
      <c r="D210" s="70">
        <f>ROUND(VLOOKUP(A210,'Contribution Allocation_Report'!$A$9:$D$310,4,FALSE)*'OPEB Amounts_Report'!$D$323,0)</f>
        <v>8174</v>
      </c>
      <c r="E210" s="70">
        <f>ROUND(VLOOKUP(A210,'Contribution Allocation_Report'!$A$9:$D$310,4,FALSE)*'OPEB Amounts_Report'!$E$323,0)</f>
        <v>111923</v>
      </c>
      <c r="F210" s="296">
        <f>INDEX('Change in Proportion Layers'!$Z$8:$Z$321,MATCH('OPEB Amounts_Report'!A210,'Change in Proportion Layers'!$A$8:$A$321,0))</f>
        <v>25644</v>
      </c>
      <c r="G210" s="70">
        <f t="shared" si="9"/>
        <v>145741</v>
      </c>
      <c r="H210" s="70"/>
      <c r="I210" s="70">
        <f>ROUND(VLOOKUP(A210,'Contribution Allocation_Report'!$A$9:$D$310,4,FALSE)*'OPEB Amounts_Report'!$I$323,0)</f>
        <v>89154</v>
      </c>
      <c r="J210" s="70">
        <f>ROUND(VLOOKUP(A210,'Contribution Allocation_Report'!$A$9:$D$310,4,FALSE)*'OPEB Amounts_Report'!$J$323,0)</f>
        <v>16024</v>
      </c>
      <c r="K210" s="70">
        <f>ROUND(VLOOKUP(A210,'Contribution Allocation_Report'!$A$9:$D$310,4,FALSE)*'OPEB Amounts_Report'!$K$323,0)</f>
        <v>202109</v>
      </c>
      <c r="L210" s="70">
        <f>INDEX('Change in Proportion Layers'!$AA$8:$AA$321,MATCH('OPEB Amounts_Report'!A210,'Change in Proportion Layers'!$A$8:$A$321,0))</f>
        <v>95606</v>
      </c>
      <c r="M210" s="70">
        <f t="shared" si="10"/>
        <v>402893</v>
      </c>
      <c r="N210" s="71"/>
      <c r="O210" s="71">
        <f>ROUND(VLOOKUP(A210,'Contribution Allocation_Report'!$A$9:$D$310,4,FALSE)*'OPEB Amounts_Report'!$O$323,0)</f>
        <v>-60203</v>
      </c>
      <c r="P210" s="71">
        <f>INDEX('Change in Proportion Layers'!$X$8:$X$321,MATCH('OPEB Amounts_Report'!A210,'Change in Proportion Layers'!$A$8:$A$321,0))</f>
        <v>-10416</v>
      </c>
      <c r="Q210" s="71">
        <f t="shared" si="11"/>
        <v>-70619</v>
      </c>
    </row>
    <row r="211" spans="1:17" ht="12" customHeight="1">
      <c r="A211" s="254">
        <v>20312</v>
      </c>
      <c r="B211" s="255" t="s">
        <v>199</v>
      </c>
      <c r="C211" s="89">
        <f>ROUND(VLOOKUP(A211,'Contribution Allocation_Report'!$A$9:$D$310,4,FALSE)*'OPEB Amounts_Report'!$C$323,0)</f>
        <v>423139</v>
      </c>
      <c r="D211" s="89">
        <f>ROUND(VLOOKUP(A211,'Contribution Allocation_Report'!$A$9:$D$310,4,FALSE)*'OPEB Amounts_Report'!$D$323,0)</f>
        <v>6187</v>
      </c>
      <c r="E211" s="89">
        <f>ROUND(VLOOKUP(A211,'Contribution Allocation_Report'!$A$9:$D$310,4,FALSE)*'OPEB Amounts_Report'!$E$323,0)</f>
        <v>84716</v>
      </c>
      <c r="F211" s="89">
        <f>INDEX('Change in Proportion Layers'!$Z$8:$Z$321,MATCH('OPEB Amounts_Report'!A211,'Change in Proportion Layers'!$A$8:$A$321,0))</f>
        <v>94177</v>
      </c>
      <c r="G211" s="89">
        <f t="shared" si="9"/>
        <v>185080</v>
      </c>
      <c r="H211" s="89"/>
      <c r="I211" s="89">
        <f>ROUND(VLOOKUP(A211,'Contribution Allocation_Report'!$A$9:$D$310,4,FALSE)*'OPEB Amounts_Report'!$I$323,0)</f>
        <v>67482</v>
      </c>
      <c r="J211" s="89">
        <f>ROUND(VLOOKUP(A211,'Contribution Allocation_Report'!$A$9:$D$310,4,FALSE)*'OPEB Amounts_Report'!$J$323,0)</f>
        <v>12129</v>
      </c>
      <c r="K211" s="89">
        <f>ROUND(VLOOKUP(A211,'Contribution Allocation_Report'!$A$9:$D$310,4,FALSE)*'OPEB Amounts_Report'!$K$323,0)</f>
        <v>152980</v>
      </c>
      <c r="L211" s="89">
        <f>INDEX('Change in Proportion Layers'!$AA$8:$AA$321,MATCH('OPEB Amounts_Report'!A211,'Change in Proportion Layers'!$A$8:$A$321,0))</f>
        <v>14386</v>
      </c>
      <c r="M211" s="89">
        <f t="shared" si="10"/>
        <v>246977</v>
      </c>
      <c r="N211" s="90"/>
      <c r="O211" s="90">
        <f>ROUND(VLOOKUP(A211,'Contribution Allocation_Report'!$A$9:$D$310,4,FALSE)*'OPEB Amounts_Report'!$O$323,0)</f>
        <v>-45569</v>
      </c>
      <c r="P211" s="90">
        <f>INDEX('Change in Proportion Layers'!$X$8:$X$321,MATCH('OPEB Amounts_Report'!A211,'Change in Proportion Layers'!$A$8:$A$321,0))</f>
        <v>17675</v>
      </c>
      <c r="Q211" s="90">
        <f t="shared" si="11"/>
        <v>-27894</v>
      </c>
    </row>
    <row r="212" spans="1:17" ht="12" customHeight="1">
      <c r="A212" s="62">
        <v>26150</v>
      </c>
      <c r="B212" s="66" t="s">
        <v>200</v>
      </c>
      <c r="C212" s="70">
        <f>ROUND(VLOOKUP(A212,'Contribution Allocation_Report'!$A$9:$D$310,4,FALSE)*'OPEB Amounts_Report'!$C$323,0)</f>
        <v>2789888</v>
      </c>
      <c r="D212" s="70">
        <f>ROUND(VLOOKUP(A212,'Contribution Allocation_Report'!$A$9:$D$310,4,FALSE)*'OPEB Amounts_Report'!$D$323,0)</f>
        <v>40792</v>
      </c>
      <c r="E212" s="70">
        <f>ROUND(VLOOKUP(A212,'Contribution Allocation_Report'!$A$9:$D$310,4,FALSE)*'OPEB Amounts_Report'!$E$323,0)</f>
        <v>558561</v>
      </c>
      <c r="F212" s="70">
        <f>INDEX('Change in Proportion Layers'!$Z$8:$Z$321,MATCH('OPEB Amounts_Report'!A212,'Change in Proportion Layers'!$A$8:$A$321,0))</f>
        <v>551202</v>
      </c>
      <c r="G212" s="70">
        <f t="shared" si="9"/>
        <v>1150555</v>
      </c>
      <c r="H212" s="70"/>
      <c r="I212" s="70">
        <f>ROUND(VLOOKUP(A212,'Contribution Allocation_Report'!$A$9:$D$310,4,FALSE)*'OPEB Amounts_Report'!$I$323,0)</f>
        <v>444929</v>
      </c>
      <c r="J212" s="70">
        <f>ROUND(VLOOKUP(A212,'Contribution Allocation_Report'!$A$9:$D$310,4,FALSE)*'OPEB Amounts_Report'!$J$323,0)</f>
        <v>79970</v>
      </c>
      <c r="K212" s="70">
        <f>ROUND(VLOOKUP(A212,'Contribution Allocation_Report'!$A$9:$D$310,4,FALSE)*'OPEB Amounts_Report'!$K$323,0)</f>
        <v>1008643</v>
      </c>
      <c r="L212" s="70">
        <f>INDEX('Change in Proportion Layers'!$AA$8:$AA$321,MATCH('OPEB Amounts_Report'!A212,'Change in Proportion Layers'!$A$8:$A$321,0))</f>
        <v>76632</v>
      </c>
      <c r="M212" s="70">
        <f t="shared" si="10"/>
        <v>1610174</v>
      </c>
      <c r="N212" s="71"/>
      <c r="O212" s="71">
        <f>ROUND(VLOOKUP(A212,'Contribution Allocation_Report'!$A$9:$D$310,4,FALSE)*'OPEB Amounts_Report'!$O$323,0)</f>
        <v>-300448</v>
      </c>
      <c r="P212" s="71">
        <f>INDEX('Change in Proportion Layers'!$X$8:$X$321,MATCH('OPEB Amounts_Report'!A212,'Change in Proportion Layers'!$A$8:$A$321,0))</f>
        <v>226962</v>
      </c>
      <c r="Q212" s="71">
        <f t="shared" si="11"/>
        <v>-73486</v>
      </c>
    </row>
    <row r="213" spans="1:17" ht="12" customHeight="1">
      <c r="A213" s="254">
        <v>5016</v>
      </c>
      <c r="B213" s="255" t="s">
        <v>201</v>
      </c>
      <c r="C213" s="89">
        <f>ROUND(VLOOKUP(A213,'Contribution Allocation_Report'!$A$9:$D$310,4,FALSE)*'OPEB Amounts_Report'!$C$323,0)</f>
        <v>323441</v>
      </c>
      <c r="D213" s="89">
        <f>ROUND(VLOOKUP(A213,'Contribution Allocation_Report'!$A$9:$D$310,4,FALSE)*'OPEB Amounts_Report'!$D$323,0)</f>
        <v>4729</v>
      </c>
      <c r="E213" s="89">
        <f>ROUND(VLOOKUP(A213,'Contribution Allocation_Report'!$A$9:$D$310,4,FALSE)*'OPEB Amounts_Report'!$E$323,0)</f>
        <v>64756</v>
      </c>
      <c r="F213" s="89">
        <f>INDEX('Change in Proportion Layers'!$Z$8:$Z$321,MATCH('OPEB Amounts_Report'!A213,'Change in Proportion Layers'!$A$8:$A$321,0))</f>
        <v>38277</v>
      </c>
      <c r="G213" s="89">
        <f t="shared" si="9"/>
        <v>107762</v>
      </c>
      <c r="H213" s="89"/>
      <c r="I213" s="89">
        <f>ROUND(VLOOKUP(A213,'Contribution Allocation_Report'!$A$9:$D$310,4,FALSE)*'OPEB Amounts_Report'!$I$323,0)</f>
        <v>51582</v>
      </c>
      <c r="J213" s="89">
        <f>ROUND(VLOOKUP(A213,'Contribution Allocation_Report'!$A$9:$D$310,4,FALSE)*'OPEB Amounts_Report'!$J$323,0)</f>
        <v>9271</v>
      </c>
      <c r="K213" s="89">
        <f>ROUND(VLOOKUP(A213,'Contribution Allocation_Report'!$A$9:$D$310,4,FALSE)*'OPEB Amounts_Report'!$K$323,0)</f>
        <v>116936</v>
      </c>
      <c r="L213" s="89">
        <f>INDEX('Change in Proportion Layers'!$AA$8:$AA$321,MATCH('OPEB Amounts_Report'!A213,'Change in Proportion Layers'!$A$8:$A$321,0))</f>
        <v>87549</v>
      </c>
      <c r="M213" s="89">
        <f t="shared" si="10"/>
        <v>265338</v>
      </c>
      <c r="N213" s="90"/>
      <c r="O213" s="90">
        <f>ROUND(VLOOKUP(A213,'Contribution Allocation_Report'!$A$9:$D$310,4,FALSE)*'OPEB Amounts_Report'!$O$323,0)</f>
        <v>-34832</v>
      </c>
      <c r="P213" s="90">
        <f>INDEX('Change in Proportion Layers'!$X$8:$X$321,MATCH('OPEB Amounts_Report'!A213,'Change in Proportion Layers'!$A$8:$A$321,0))</f>
        <v>-4460</v>
      </c>
      <c r="Q213" s="90">
        <f t="shared" si="11"/>
        <v>-39292</v>
      </c>
    </row>
    <row r="214" spans="1:17" ht="12" customHeight="1">
      <c r="A214" s="62">
        <v>6150</v>
      </c>
      <c r="B214" s="66" t="s">
        <v>202</v>
      </c>
      <c r="C214" s="70">
        <f>ROUND(VLOOKUP(A214,'Contribution Allocation_Report'!$A$9:$D$310,4,FALSE)*'OPEB Amounts_Report'!$C$323,0)</f>
        <v>268493</v>
      </c>
      <c r="D214" s="70">
        <f>ROUND(VLOOKUP(A214,'Contribution Allocation_Report'!$A$9:$D$310,4,FALSE)*'OPEB Amounts_Report'!$D$323,0)</f>
        <v>3926</v>
      </c>
      <c r="E214" s="70">
        <f>ROUND(VLOOKUP(A214,'Contribution Allocation_Report'!$A$9:$D$310,4,FALSE)*'OPEB Amounts_Report'!$E$323,0)</f>
        <v>53755</v>
      </c>
      <c r="F214" s="70">
        <f>INDEX('Change in Proportion Layers'!$Z$8:$Z$321,MATCH('OPEB Amounts_Report'!A214,'Change in Proportion Layers'!$A$8:$A$321,0))</f>
        <v>171811</v>
      </c>
      <c r="G214" s="70">
        <f t="shared" si="9"/>
        <v>229492</v>
      </c>
      <c r="H214" s="70"/>
      <c r="I214" s="70">
        <f>ROUND(VLOOKUP(A214,'Contribution Allocation_Report'!$A$9:$D$310,4,FALSE)*'OPEB Amounts_Report'!$I$323,0)</f>
        <v>42819</v>
      </c>
      <c r="J214" s="70">
        <f>ROUND(VLOOKUP(A214,'Contribution Allocation_Report'!$A$9:$D$310,4,FALSE)*'OPEB Amounts_Report'!$J$323,0)</f>
        <v>7696</v>
      </c>
      <c r="K214" s="70">
        <f>ROUND(VLOOKUP(A214,'Contribution Allocation_Report'!$A$9:$D$310,4,FALSE)*'OPEB Amounts_Report'!$K$323,0)</f>
        <v>97070</v>
      </c>
      <c r="L214" s="296">
        <f>INDEX('Change in Proportion Layers'!$AA$8:$AA$321,MATCH('OPEB Amounts_Report'!A214,'Change in Proportion Layers'!$A$8:$A$321,0))</f>
        <v>40333</v>
      </c>
      <c r="M214" s="70">
        <f t="shared" si="10"/>
        <v>187918</v>
      </c>
      <c r="N214" s="71"/>
      <c r="O214" s="71">
        <f>ROUND(VLOOKUP(A214,'Contribution Allocation_Report'!$A$9:$D$310,4,FALSE)*'OPEB Amounts_Report'!$O$323,0)</f>
        <v>-28914</v>
      </c>
      <c r="P214" s="71">
        <f>INDEX('Change in Proportion Layers'!$X$8:$X$321,MATCH('OPEB Amounts_Report'!A214,'Change in Proportion Layers'!$A$8:$A$321,0))</f>
        <v>62417</v>
      </c>
      <c r="Q214" s="71">
        <f t="shared" si="11"/>
        <v>33503</v>
      </c>
    </row>
    <row r="215" spans="1:17" ht="12" customHeight="1">
      <c r="A215" s="254">
        <v>4480</v>
      </c>
      <c r="B215" s="255" t="s">
        <v>203</v>
      </c>
      <c r="C215" s="89">
        <f>ROUND(VLOOKUP(A215,'Contribution Allocation_Report'!$A$9:$D$310,4,FALSE)*'OPEB Amounts_Report'!$C$323,0)</f>
        <v>551134</v>
      </c>
      <c r="D215" s="89">
        <f>ROUND(VLOOKUP(A215,'Contribution Allocation_Report'!$A$9:$D$310,4,FALSE)*'OPEB Amounts_Report'!$D$323,0)</f>
        <v>8058</v>
      </c>
      <c r="E215" s="89">
        <f>ROUND(VLOOKUP(A215,'Contribution Allocation_Report'!$A$9:$D$310,4,FALSE)*'OPEB Amounts_Report'!$E$323,0)</f>
        <v>110342</v>
      </c>
      <c r="F215" s="89">
        <f>INDEX('Change in Proportion Layers'!$Z$8:$Z$321,MATCH('OPEB Amounts_Report'!A215,'Change in Proportion Layers'!$A$8:$A$321,0))</f>
        <v>19467</v>
      </c>
      <c r="G215" s="89">
        <f t="shared" si="9"/>
        <v>137867</v>
      </c>
      <c r="H215" s="89"/>
      <c r="I215" s="89">
        <f>ROUND(VLOOKUP(A215,'Contribution Allocation_Report'!$A$9:$D$310,4,FALSE)*'OPEB Amounts_Report'!$I$323,0)</f>
        <v>87894</v>
      </c>
      <c r="J215" s="89">
        <f>ROUND(VLOOKUP(A215,'Contribution Allocation_Report'!$A$9:$D$310,4,FALSE)*'OPEB Amounts_Report'!$J$323,0)</f>
        <v>15798</v>
      </c>
      <c r="K215" s="89">
        <f>ROUND(VLOOKUP(A215,'Contribution Allocation_Report'!$A$9:$D$310,4,FALSE)*'OPEB Amounts_Report'!$K$323,0)</f>
        <v>199254</v>
      </c>
      <c r="L215" s="89">
        <f>INDEX('Change in Proportion Layers'!$AA$8:$AA$321,MATCH('OPEB Amounts_Report'!A215,'Change in Proportion Layers'!$A$8:$A$321,0))</f>
        <v>125450</v>
      </c>
      <c r="M215" s="89">
        <f t="shared" si="10"/>
        <v>428396</v>
      </c>
      <c r="N215" s="90"/>
      <c r="O215" s="90">
        <f>ROUND(VLOOKUP(A215,'Contribution Allocation_Report'!$A$9:$D$310,4,FALSE)*'OPEB Amounts_Report'!$O$323,0)</f>
        <v>-59352</v>
      </c>
      <c r="P215" s="90">
        <f>INDEX('Change in Proportion Layers'!$X$8:$X$321,MATCH('OPEB Amounts_Report'!A215,'Change in Proportion Layers'!$A$8:$A$321,0))</f>
        <v>-21694</v>
      </c>
      <c r="Q215" s="90">
        <f t="shared" si="11"/>
        <v>-81046</v>
      </c>
    </row>
    <row r="216" spans="1:17" ht="12" customHeight="1">
      <c r="A216" s="62">
        <v>28085</v>
      </c>
      <c r="B216" s="66" t="s">
        <v>204</v>
      </c>
      <c r="C216" s="70">
        <f>ROUND(VLOOKUP(A216,'Contribution Allocation_Report'!$A$9:$D$310,4,FALSE)*'OPEB Amounts_Report'!$C$323,0)</f>
        <v>1019021</v>
      </c>
      <c r="D216" s="70">
        <f>ROUND(VLOOKUP(A216,'Contribution Allocation_Report'!$A$9:$D$310,4,FALSE)*'OPEB Amounts_Report'!$D$323,0)</f>
        <v>14899</v>
      </c>
      <c r="E216" s="70">
        <f>ROUND(VLOOKUP(A216,'Contribution Allocation_Report'!$A$9:$D$310,4,FALSE)*'OPEB Amounts_Report'!$E$323,0)</f>
        <v>204018</v>
      </c>
      <c r="F216" s="70">
        <f>INDEX('Change in Proportion Layers'!$Z$8:$Z$321,MATCH('OPEB Amounts_Report'!A216,'Change in Proportion Layers'!$A$8:$A$321,0))</f>
        <v>13717</v>
      </c>
      <c r="G216" s="70">
        <f t="shared" si="9"/>
        <v>232634</v>
      </c>
      <c r="H216" s="70"/>
      <c r="I216" s="70">
        <f>ROUND(VLOOKUP(A216,'Contribution Allocation_Report'!$A$9:$D$310,4,FALSE)*'OPEB Amounts_Report'!$I$323,0)</f>
        <v>162513</v>
      </c>
      <c r="J216" s="70">
        <f>ROUND(VLOOKUP(A216,'Contribution Allocation_Report'!$A$9:$D$310,4,FALSE)*'OPEB Amounts_Report'!$J$323,0)</f>
        <v>29209</v>
      </c>
      <c r="K216" s="70">
        <f>ROUND(VLOOKUP(A216,'Contribution Allocation_Report'!$A$9:$D$310,4,FALSE)*'OPEB Amounts_Report'!$K$323,0)</f>
        <v>368412</v>
      </c>
      <c r="L216" s="70">
        <f>INDEX('Change in Proportion Layers'!$AA$8:$AA$321,MATCH('OPEB Amounts_Report'!A216,'Change in Proportion Layers'!$A$8:$A$321,0))</f>
        <v>112155</v>
      </c>
      <c r="M216" s="70">
        <f t="shared" si="10"/>
        <v>672289</v>
      </c>
      <c r="N216" s="71"/>
      <c r="O216" s="71">
        <f>ROUND(VLOOKUP(A216,'Contribution Allocation_Report'!$A$9:$D$310,4,FALSE)*'OPEB Amounts_Report'!$O$323,0)</f>
        <v>-109740</v>
      </c>
      <c r="P216" s="71">
        <f>INDEX('Change in Proportion Layers'!$X$8:$X$321,MATCH('OPEB Amounts_Report'!A216,'Change in Proportion Layers'!$A$8:$A$321,0))</f>
        <v>-19010</v>
      </c>
      <c r="Q216" s="71">
        <f t="shared" si="11"/>
        <v>-128750</v>
      </c>
    </row>
    <row r="217" spans="1:17" ht="12" customHeight="1">
      <c r="A217" s="254">
        <v>3240</v>
      </c>
      <c r="B217" s="255" t="s">
        <v>205</v>
      </c>
      <c r="C217" s="89">
        <f>ROUND(VLOOKUP(A217,'Contribution Allocation_Report'!$A$9:$D$310,4,FALSE)*'OPEB Amounts_Report'!$C$323,0)</f>
        <v>6740611</v>
      </c>
      <c r="D217" s="89">
        <f>ROUND(VLOOKUP(A217,'Contribution Allocation_Report'!$A$9:$D$310,4,FALSE)*'OPEB Amounts_Report'!$D$323,0)</f>
        <v>98557</v>
      </c>
      <c r="E217" s="89">
        <f>ROUND(VLOOKUP(A217,'Contribution Allocation_Report'!$A$9:$D$310,4,FALSE)*'OPEB Amounts_Report'!$E$323,0)</f>
        <v>1349533</v>
      </c>
      <c r="F217" s="89">
        <f>INDEX('Change in Proportion Layers'!$Z$8:$Z$321,MATCH('OPEB Amounts_Report'!A217,'Change in Proportion Layers'!$A$8:$A$321,0))</f>
        <v>283539</v>
      </c>
      <c r="G217" s="89">
        <f t="shared" si="9"/>
        <v>1731629</v>
      </c>
      <c r="H217" s="89"/>
      <c r="I217" s="89">
        <f>ROUND(VLOOKUP(A217,'Contribution Allocation_Report'!$A$9:$D$310,4,FALSE)*'OPEB Amounts_Report'!$I$323,0)</f>
        <v>1074987</v>
      </c>
      <c r="J217" s="89">
        <f>ROUND(VLOOKUP(A217,'Contribution Allocation_Report'!$A$9:$D$310,4,FALSE)*'OPEB Amounts_Report'!$J$323,0)</f>
        <v>193214</v>
      </c>
      <c r="K217" s="89">
        <f>ROUND(VLOOKUP(A217,'Contribution Allocation_Report'!$A$9:$D$310,4,FALSE)*'OPEB Amounts_Report'!$K$323,0)</f>
        <v>2436970</v>
      </c>
      <c r="L217" s="89">
        <f>INDEX('Change in Proportion Layers'!$AA$8:$AA$321,MATCH('OPEB Amounts_Report'!A217,'Change in Proportion Layers'!$A$8:$A$321,0))</f>
        <v>702282</v>
      </c>
      <c r="M217" s="89">
        <f t="shared" si="10"/>
        <v>4407453</v>
      </c>
      <c r="N217" s="90"/>
      <c r="O217" s="90">
        <f>ROUND(VLOOKUP(A217,'Contribution Allocation_Report'!$A$9:$D$310,4,FALSE)*'OPEB Amounts_Report'!$O$323,0)</f>
        <v>-725907</v>
      </c>
      <c r="P217" s="90">
        <f>INDEX('Change in Proportion Layers'!$X$8:$X$321,MATCH('OPEB Amounts_Report'!A217,'Change in Proportion Layers'!$A$8:$A$321,0))</f>
        <v>-229858</v>
      </c>
      <c r="Q217" s="90">
        <f t="shared" si="11"/>
        <v>-955765</v>
      </c>
    </row>
    <row r="218" spans="1:17" ht="12" customHeight="1">
      <c r="A218" s="62">
        <v>12326</v>
      </c>
      <c r="B218" s="66" t="s">
        <v>206</v>
      </c>
      <c r="C218" s="70">
        <f>ROUND(VLOOKUP(A218,'Contribution Allocation_Report'!$A$9:$D$310,4,FALSE)*'OPEB Amounts_Report'!$C$323,0)</f>
        <v>359635</v>
      </c>
      <c r="D218" s="70">
        <f>ROUND(VLOOKUP(A218,'Contribution Allocation_Report'!$A$9:$D$310,4,FALSE)*'OPEB Amounts_Report'!$D$323,0)</f>
        <v>5258</v>
      </c>
      <c r="E218" s="70">
        <f>ROUND(VLOOKUP(A218,'Contribution Allocation_Report'!$A$9:$D$310,4,FALSE)*'OPEB Amounts_Report'!$E$323,0)</f>
        <v>72002</v>
      </c>
      <c r="F218" s="70">
        <f>INDEX('Change in Proportion Layers'!$Z$8:$Z$321,MATCH('OPEB Amounts_Report'!A218,'Change in Proportion Layers'!$A$8:$A$321,0))</f>
        <v>64593</v>
      </c>
      <c r="G218" s="70">
        <f t="shared" si="9"/>
        <v>141853</v>
      </c>
      <c r="H218" s="70"/>
      <c r="I218" s="70">
        <f>ROUND(VLOOKUP(A218,'Contribution Allocation_Report'!$A$9:$D$310,4,FALSE)*'OPEB Amounts_Report'!$I$323,0)</f>
        <v>57354</v>
      </c>
      <c r="J218" s="70">
        <f>ROUND(VLOOKUP(A218,'Contribution Allocation_Report'!$A$9:$D$310,4,FALSE)*'OPEB Amounts_Report'!$J$323,0)</f>
        <v>10309</v>
      </c>
      <c r="K218" s="70">
        <f>ROUND(VLOOKUP(A218,'Contribution Allocation_Report'!$A$9:$D$310,4,FALSE)*'OPEB Amounts_Report'!$K$323,0)</f>
        <v>130021</v>
      </c>
      <c r="L218" s="296">
        <f>INDEX('Change in Proportion Layers'!$AA$8:$AA$321,MATCH('OPEB Amounts_Report'!A218,'Change in Proportion Layers'!$A$8:$A$321,0))</f>
        <v>42425</v>
      </c>
      <c r="M218" s="70">
        <f t="shared" si="10"/>
        <v>240109</v>
      </c>
      <c r="N218" s="71"/>
      <c r="O218" s="71">
        <f>ROUND(VLOOKUP(A218,'Contribution Allocation_Report'!$A$9:$D$310,4,FALSE)*'OPEB Amounts_Report'!$O$323,0)</f>
        <v>-38730</v>
      </c>
      <c r="P218" s="71">
        <f>INDEX('Change in Proportion Layers'!$X$8:$X$321,MATCH('OPEB Amounts_Report'!A218,'Change in Proportion Layers'!$A$8:$A$321,0))</f>
        <v>5205</v>
      </c>
      <c r="Q218" s="71">
        <f t="shared" si="11"/>
        <v>-33525</v>
      </c>
    </row>
    <row r="219" spans="1:17" ht="12" customHeight="1">
      <c r="A219" s="254">
        <v>29123</v>
      </c>
      <c r="B219" s="255" t="s">
        <v>207</v>
      </c>
      <c r="C219" s="89">
        <f>ROUND(VLOOKUP(A219,'Contribution Allocation_Report'!$A$9:$D$310,4,FALSE)*'OPEB Amounts_Report'!$C$323,0)</f>
        <v>73640332</v>
      </c>
      <c r="D219" s="89">
        <f>ROUND(VLOOKUP(A219,'Contribution Allocation_Report'!$A$9:$D$310,4,FALSE)*'OPEB Amounts_Report'!$D$323,0)</f>
        <v>1076719</v>
      </c>
      <c r="E219" s="89">
        <f>ROUND(VLOOKUP(A219,'Contribution Allocation_Report'!$A$9:$D$310,4,FALSE)*'OPEB Amounts_Report'!$E$323,0)</f>
        <v>14743476</v>
      </c>
      <c r="F219" s="89">
        <f>INDEX('Change in Proportion Layers'!$Z$8:$Z$321,MATCH('OPEB Amounts_Report'!A219,'Change in Proportion Layers'!$A$8:$A$321,0))</f>
        <v>15679138</v>
      </c>
      <c r="G219" s="89">
        <f t="shared" si="9"/>
        <v>31499333</v>
      </c>
      <c r="H219" s="89"/>
      <c r="I219" s="89">
        <f>ROUND(VLOOKUP(A219,'Contribution Allocation_Report'!$A$9:$D$310,4,FALSE)*'OPEB Amounts_Report'!$I$323,0)</f>
        <v>11744101</v>
      </c>
      <c r="J219" s="89">
        <f>ROUND(VLOOKUP(A219,'Contribution Allocation_Report'!$A$9:$D$310,4,FALSE)*'OPEB Amounts_Report'!$J$323,0)</f>
        <v>2110838</v>
      </c>
      <c r="K219" s="89">
        <f>ROUND(VLOOKUP(A219,'Contribution Allocation_Report'!$A$9:$D$310,4,FALSE)*'OPEB Amounts_Report'!$K$323,0)</f>
        <v>26623590</v>
      </c>
      <c r="L219" s="89">
        <f>INDEX('Change in Proportion Layers'!$AA$8:$AA$321,MATCH('OPEB Amounts_Report'!A219,'Change in Proportion Layers'!$A$8:$A$321,0))</f>
        <v>8386147</v>
      </c>
      <c r="M219" s="89">
        <f t="shared" si="10"/>
        <v>48864676</v>
      </c>
      <c r="N219" s="90"/>
      <c r="O219" s="90">
        <f>ROUND(VLOOKUP(A219,'Contribution Allocation_Report'!$A$9:$D$310,4,FALSE)*'OPEB Amounts_Report'!$O$323,0)</f>
        <v>-7930448</v>
      </c>
      <c r="P219" s="90">
        <f>INDEX('Change in Proportion Layers'!$X$8:$X$321,MATCH('OPEB Amounts_Report'!A219,'Change in Proportion Layers'!$A$8:$A$321,0))</f>
        <v>1822789</v>
      </c>
      <c r="Q219" s="90">
        <f t="shared" si="11"/>
        <v>-6107659</v>
      </c>
    </row>
    <row r="220" spans="1:17" ht="12" customHeight="1">
      <c r="A220" s="62">
        <v>2318</v>
      </c>
      <c r="B220" s="66" t="s">
        <v>208</v>
      </c>
      <c r="C220" s="70">
        <f>ROUND(VLOOKUP(A220,'Contribution Allocation_Report'!$A$9:$D$310,4,FALSE)*'OPEB Amounts_Report'!$C$323,0)</f>
        <v>1676104</v>
      </c>
      <c r="D220" s="70">
        <f>ROUND(VLOOKUP(A220,'Contribution Allocation_Report'!$A$9:$D$310,4,FALSE)*'OPEB Amounts_Report'!$D$323,0)</f>
        <v>24507</v>
      </c>
      <c r="E220" s="70">
        <f>ROUND(VLOOKUP(A220,'Contribution Allocation_Report'!$A$9:$D$310,4,FALSE)*'OPEB Amounts_Report'!$E$323,0)</f>
        <v>335572</v>
      </c>
      <c r="F220" s="70">
        <f>INDEX('Change in Proportion Layers'!$Z$8:$Z$321,MATCH('OPEB Amounts_Report'!A220,'Change in Proportion Layers'!$A$8:$A$321,0))</f>
        <v>157586</v>
      </c>
      <c r="G220" s="70">
        <f t="shared" si="9"/>
        <v>517665</v>
      </c>
      <c r="H220" s="70"/>
      <c r="I220" s="70">
        <f>ROUND(VLOOKUP(A220,'Contribution Allocation_Report'!$A$9:$D$310,4,FALSE)*'OPEB Amounts_Report'!$I$323,0)</f>
        <v>267304</v>
      </c>
      <c r="J220" s="70">
        <f>ROUND(VLOOKUP(A220,'Contribution Allocation_Report'!$A$9:$D$310,4,FALSE)*'OPEB Amounts_Report'!$J$323,0)</f>
        <v>48044</v>
      </c>
      <c r="K220" s="70">
        <f>ROUND(VLOOKUP(A220,'Contribution Allocation_Report'!$A$9:$D$310,4,FALSE)*'OPEB Amounts_Report'!$K$323,0)</f>
        <v>605971</v>
      </c>
      <c r="L220" s="296">
        <f>INDEX('Change in Proportion Layers'!$AA$8:$AA$321,MATCH('OPEB Amounts_Report'!A220,'Change in Proportion Layers'!$A$8:$A$321,0))</f>
        <v>20235</v>
      </c>
      <c r="M220" s="70">
        <f t="shared" si="10"/>
        <v>941554</v>
      </c>
      <c r="N220" s="71"/>
      <c r="O220" s="71">
        <f>ROUND(VLOOKUP(A220,'Contribution Allocation_Report'!$A$9:$D$310,4,FALSE)*'OPEB Amounts_Report'!$O$323,0)</f>
        <v>-180502</v>
      </c>
      <c r="P220" s="71">
        <f>INDEX('Change in Proportion Layers'!$X$8:$X$321,MATCH('OPEB Amounts_Report'!A220,'Change in Proportion Layers'!$A$8:$A$321,0))</f>
        <v>37108</v>
      </c>
      <c r="Q220" s="71">
        <f t="shared" si="11"/>
        <v>-143394</v>
      </c>
    </row>
    <row r="221" spans="1:17" ht="12" customHeight="1">
      <c r="A221" s="254">
        <v>3250</v>
      </c>
      <c r="B221" s="255" t="s">
        <v>209</v>
      </c>
      <c r="C221" s="89">
        <f>ROUND(VLOOKUP(A221,'Contribution Allocation_Report'!$A$9:$D$310,4,FALSE)*'OPEB Amounts_Report'!$C$323,0)</f>
        <v>2256522</v>
      </c>
      <c r="D221" s="89">
        <f>ROUND(VLOOKUP(A221,'Contribution Allocation_Report'!$A$9:$D$310,4,FALSE)*'OPEB Amounts_Report'!$D$323,0)</f>
        <v>32993</v>
      </c>
      <c r="E221" s="89">
        <f>ROUND(VLOOKUP(A221,'Contribution Allocation_Report'!$A$9:$D$310,4,FALSE)*'OPEB Amounts_Report'!$E$323,0)</f>
        <v>451777</v>
      </c>
      <c r="F221" s="297">
        <f>INDEX('Change in Proportion Layers'!$Z$8:$Z$321,MATCH('OPEB Amounts_Report'!A221,'Change in Proportion Layers'!$A$8:$A$321,0))</f>
        <v>104050</v>
      </c>
      <c r="G221" s="89">
        <f t="shared" si="9"/>
        <v>588820</v>
      </c>
      <c r="H221" s="89"/>
      <c r="I221" s="89">
        <f>ROUND(VLOOKUP(A221,'Contribution Allocation_Report'!$A$9:$D$310,4,FALSE)*'OPEB Amounts_Report'!$I$323,0)</f>
        <v>359868</v>
      </c>
      <c r="J221" s="89">
        <f>ROUND(VLOOKUP(A221,'Contribution Allocation_Report'!$A$9:$D$310,4,FALSE)*'OPEB Amounts_Report'!$J$323,0)</f>
        <v>64681</v>
      </c>
      <c r="K221" s="89">
        <f>ROUND(VLOOKUP(A221,'Contribution Allocation_Report'!$A$9:$D$310,4,FALSE)*'OPEB Amounts_Report'!$K$323,0)</f>
        <v>815813</v>
      </c>
      <c r="L221" s="89">
        <f>INDEX('Change in Proportion Layers'!$AA$8:$AA$321,MATCH('OPEB Amounts_Report'!A221,'Change in Proportion Layers'!$A$8:$A$321,0))</f>
        <v>278537</v>
      </c>
      <c r="M221" s="89">
        <f t="shared" si="10"/>
        <v>1518899</v>
      </c>
      <c r="N221" s="90"/>
      <c r="O221" s="90">
        <f>ROUND(VLOOKUP(A221,'Contribution Allocation_Report'!$A$9:$D$310,4,FALSE)*'OPEB Amounts_Report'!$O$323,0)</f>
        <v>-243009</v>
      </c>
      <c r="P221" s="90">
        <f>INDEX('Change in Proportion Layers'!$X$8:$X$321,MATCH('OPEB Amounts_Report'!A221,'Change in Proportion Layers'!$A$8:$A$321,0))</f>
        <v>-14493</v>
      </c>
      <c r="Q221" s="90">
        <f t="shared" si="11"/>
        <v>-257502</v>
      </c>
    </row>
    <row r="222" spans="1:17" ht="12" customHeight="1">
      <c r="A222" s="62">
        <v>2313</v>
      </c>
      <c r="B222" s="66" t="s">
        <v>210</v>
      </c>
      <c r="C222" s="70">
        <f>ROUND(VLOOKUP(A222,'Contribution Allocation_Report'!$A$9:$D$310,4,FALSE)*'OPEB Amounts_Report'!$C$323,0)</f>
        <v>231641</v>
      </c>
      <c r="D222" s="70">
        <f>ROUND(VLOOKUP(A222,'Contribution Allocation_Report'!$A$9:$D$310,4,FALSE)*'OPEB Amounts_Report'!$D$323,0)</f>
        <v>3387</v>
      </c>
      <c r="E222" s="70">
        <f>ROUND(VLOOKUP(A222,'Contribution Allocation_Report'!$A$9:$D$310,4,FALSE)*'OPEB Amounts_Report'!$E$323,0)</f>
        <v>46377</v>
      </c>
      <c r="F222" s="70">
        <f>INDEX('Change in Proportion Layers'!$Z$8:$Z$321,MATCH('OPEB Amounts_Report'!A222,'Change in Proportion Layers'!$A$8:$A$321,0))</f>
        <v>20570</v>
      </c>
      <c r="G222" s="70">
        <f t="shared" si="9"/>
        <v>70334</v>
      </c>
      <c r="H222" s="70"/>
      <c r="I222" s="70">
        <f>ROUND(VLOOKUP(A222,'Contribution Allocation_Report'!$A$9:$D$310,4,FALSE)*'OPEB Amounts_Report'!$I$323,0)</f>
        <v>36942</v>
      </c>
      <c r="J222" s="70">
        <f>ROUND(VLOOKUP(A222,'Contribution Allocation_Report'!$A$9:$D$310,4,FALSE)*'OPEB Amounts_Report'!$J$323,0)</f>
        <v>6640</v>
      </c>
      <c r="K222" s="70">
        <f>ROUND(VLOOKUP(A222,'Contribution Allocation_Report'!$A$9:$D$310,4,FALSE)*'OPEB Amounts_Report'!$K$323,0)</f>
        <v>83746</v>
      </c>
      <c r="L222" s="296">
        <f>INDEX('Change in Proportion Layers'!$AA$8:$AA$321,MATCH('OPEB Amounts_Report'!A222,'Change in Proportion Layers'!$A$8:$A$321,0))</f>
        <v>29549</v>
      </c>
      <c r="M222" s="70">
        <f t="shared" si="10"/>
        <v>156877</v>
      </c>
      <c r="N222" s="71"/>
      <c r="O222" s="71">
        <f>ROUND(VLOOKUP(A222,'Contribution Allocation_Report'!$A$9:$D$310,4,FALSE)*'OPEB Amounts_Report'!$O$323,0)</f>
        <v>-24946</v>
      </c>
      <c r="P222" s="71">
        <f>INDEX('Change in Proportion Layers'!$X$8:$X$321,MATCH('OPEB Amounts_Report'!A222,'Change in Proportion Layers'!$A$8:$A$321,0))</f>
        <v>-8937</v>
      </c>
      <c r="Q222" s="71">
        <f t="shared" si="11"/>
        <v>-33883</v>
      </c>
    </row>
    <row r="223" spans="1:17" ht="12" customHeight="1">
      <c r="A223" s="254">
        <v>4011</v>
      </c>
      <c r="B223" s="255" t="s">
        <v>211</v>
      </c>
      <c r="C223" s="89">
        <f>ROUND(VLOOKUP(A223,'Contribution Allocation_Report'!$A$9:$D$310,4,FALSE)*'OPEB Amounts_Report'!$C$323,0)</f>
        <v>41729532</v>
      </c>
      <c r="D223" s="89">
        <f>ROUND(VLOOKUP(A223,'Contribution Allocation_Report'!$A$9:$D$310,4,FALSE)*'OPEB Amounts_Report'!$D$323,0)</f>
        <v>610141</v>
      </c>
      <c r="E223" s="89">
        <f>ROUND(VLOOKUP(A223,'Contribution Allocation_Report'!$A$9:$D$310,4,FALSE)*'OPEB Amounts_Report'!$E$323,0)</f>
        <v>8354639</v>
      </c>
      <c r="F223" s="297">
        <f>INDEX('Change in Proportion Layers'!$Z$8:$Z$321,MATCH('OPEB Amounts_Report'!A223,'Change in Proportion Layers'!$A$8:$A$321,0))</f>
        <v>4228795</v>
      </c>
      <c r="G223" s="89">
        <f t="shared" si="9"/>
        <v>13193575</v>
      </c>
      <c r="H223" s="89"/>
      <c r="I223" s="89">
        <f>ROUND(VLOOKUP(A223,'Contribution Allocation_Report'!$A$9:$D$310,4,FALSE)*'OPEB Amounts_Report'!$I$323,0)</f>
        <v>6654992</v>
      </c>
      <c r="J223" s="89">
        <f>ROUND(VLOOKUP(A223,'Contribution Allocation_Report'!$A$9:$D$310,4,FALSE)*'OPEB Amounts_Report'!$J$323,0)</f>
        <v>1196142</v>
      </c>
      <c r="K223" s="89">
        <f>ROUND(VLOOKUP(A223,'Contribution Allocation_Report'!$A$9:$D$310,4,FALSE)*'OPEB Amounts_Report'!$K$323,0)</f>
        <v>15086705</v>
      </c>
      <c r="L223" s="89">
        <f>INDEX('Change in Proportion Layers'!$AA$8:$AA$321,MATCH('OPEB Amounts_Report'!A223,'Change in Proportion Layers'!$A$8:$A$321,0))</f>
        <v>513218</v>
      </c>
      <c r="M223" s="89">
        <f t="shared" si="10"/>
        <v>23451057</v>
      </c>
      <c r="N223" s="90"/>
      <c r="O223" s="90">
        <f>ROUND(VLOOKUP(A223,'Contribution Allocation_Report'!$A$9:$D$310,4,FALSE)*'OPEB Amounts_Report'!$O$323,0)</f>
        <v>-4493921</v>
      </c>
      <c r="P223" s="90">
        <f>INDEX('Change in Proportion Layers'!$X$8:$X$321,MATCH('OPEB Amounts_Report'!A223,'Change in Proportion Layers'!$A$8:$A$321,0))</f>
        <v>982892</v>
      </c>
      <c r="Q223" s="90">
        <f t="shared" si="11"/>
        <v>-3511029</v>
      </c>
    </row>
    <row r="224" spans="1:17" ht="12" customHeight="1">
      <c r="A224" s="62">
        <v>31092</v>
      </c>
      <c r="B224" s="66" t="s">
        <v>212</v>
      </c>
      <c r="C224" s="70">
        <f>ROUND(VLOOKUP(A224,'Contribution Allocation_Report'!$A$9:$D$310,4,FALSE)*'OPEB Amounts_Report'!$C$323,0)</f>
        <v>671889</v>
      </c>
      <c r="D224" s="70">
        <f>ROUND(VLOOKUP(A224,'Contribution Allocation_Report'!$A$9:$D$310,4,FALSE)*'OPEB Amounts_Report'!$D$323,0)</f>
        <v>9824</v>
      </c>
      <c r="E224" s="70">
        <f>ROUND(VLOOKUP(A224,'Contribution Allocation_Report'!$A$9:$D$310,4,FALSE)*'OPEB Amounts_Report'!$E$323,0)</f>
        <v>134518</v>
      </c>
      <c r="F224" s="70">
        <f>INDEX('Change in Proportion Layers'!$Z$8:$Z$321,MATCH('OPEB Amounts_Report'!A224,'Change in Proportion Layers'!$A$8:$A$321,0))</f>
        <v>62216</v>
      </c>
      <c r="G224" s="70">
        <f t="shared" si="9"/>
        <v>206558</v>
      </c>
      <c r="H224" s="70"/>
      <c r="I224" s="70">
        <f>ROUND(VLOOKUP(A224,'Contribution Allocation_Report'!$A$9:$D$310,4,FALSE)*'OPEB Amounts_Report'!$I$323,0)</f>
        <v>107152</v>
      </c>
      <c r="J224" s="70">
        <f>ROUND(VLOOKUP(A224,'Contribution Allocation_Report'!$A$9:$D$310,4,FALSE)*'OPEB Amounts_Report'!$J$323,0)</f>
        <v>19259</v>
      </c>
      <c r="K224" s="70">
        <f>ROUND(VLOOKUP(A224,'Contribution Allocation_Report'!$A$9:$D$310,4,FALSE)*'OPEB Amounts_Report'!$K$323,0)</f>
        <v>242912</v>
      </c>
      <c r="L224" s="70">
        <f>INDEX('Change in Proportion Layers'!$AA$8:$AA$321,MATCH('OPEB Amounts_Report'!A224,'Change in Proportion Layers'!$A$8:$A$321,0))</f>
        <v>15112</v>
      </c>
      <c r="M224" s="70">
        <f t="shared" si="10"/>
        <v>384435</v>
      </c>
      <c r="N224" s="71"/>
      <c r="O224" s="71">
        <f>ROUND(VLOOKUP(A224,'Contribution Allocation_Report'!$A$9:$D$310,4,FALSE)*'OPEB Amounts_Report'!$O$323,0)</f>
        <v>-72357</v>
      </c>
      <c r="P224" s="71">
        <f>INDEX('Change in Proportion Layers'!$X$8:$X$321,MATCH('OPEB Amounts_Report'!A224,'Change in Proportion Layers'!$A$8:$A$321,0))</f>
        <v>11451</v>
      </c>
      <c r="Q224" s="71">
        <f t="shared" si="11"/>
        <v>-60906</v>
      </c>
    </row>
    <row r="225" spans="1:17" ht="12" customHeight="1">
      <c r="A225" s="254">
        <v>26081</v>
      </c>
      <c r="B225" s="255" t="s">
        <v>213</v>
      </c>
      <c r="C225" s="89">
        <f>ROUND(VLOOKUP(A225,'Contribution Allocation_Report'!$A$9:$D$310,4,FALSE)*'OPEB Amounts_Report'!$C$323,0)</f>
        <v>7335835</v>
      </c>
      <c r="D225" s="89">
        <f>ROUND(VLOOKUP(A225,'Contribution Allocation_Report'!$A$9:$D$310,4,FALSE)*'OPEB Amounts_Report'!$D$323,0)</f>
        <v>107260</v>
      </c>
      <c r="E225" s="89">
        <f>ROUND(VLOOKUP(A225,'Contribution Allocation_Report'!$A$9:$D$310,4,FALSE)*'OPEB Amounts_Report'!$E$323,0)</f>
        <v>1468702</v>
      </c>
      <c r="F225" s="89">
        <f>INDEX('Change in Proportion Layers'!$Z$8:$Z$321,MATCH('OPEB Amounts_Report'!A225,'Change in Proportion Layers'!$A$8:$A$321,0))</f>
        <v>413222</v>
      </c>
      <c r="G225" s="89">
        <f t="shared" si="9"/>
        <v>1989184</v>
      </c>
      <c r="H225" s="89"/>
      <c r="I225" s="89">
        <f>ROUND(VLOOKUP(A225,'Contribution Allocation_Report'!$A$9:$D$310,4,FALSE)*'OPEB Amounts_Report'!$I$323,0)</f>
        <v>1169913</v>
      </c>
      <c r="J225" s="89">
        <f>ROUND(VLOOKUP(A225,'Contribution Allocation_Report'!$A$9:$D$310,4,FALSE)*'OPEB Amounts_Report'!$J$323,0)</f>
        <v>210276</v>
      </c>
      <c r="K225" s="89">
        <f>ROUND(VLOOKUP(A225,'Contribution Allocation_Report'!$A$9:$D$310,4,FALSE)*'OPEB Amounts_Report'!$K$323,0)</f>
        <v>2652164</v>
      </c>
      <c r="L225" s="89">
        <f>INDEX('Change in Proportion Layers'!$AA$8:$AA$321,MATCH('OPEB Amounts_Report'!A225,'Change in Proportion Layers'!$A$8:$A$321,0))</f>
        <v>391843</v>
      </c>
      <c r="M225" s="89">
        <f t="shared" si="10"/>
        <v>4424196</v>
      </c>
      <c r="N225" s="90"/>
      <c r="O225" s="90">
        <f>ROUND(VLOOKUP(A225,'Contribution Allocation_Report'!$A$9:$D$310,4,FALSE)*'OPEB Amounts_Report'!$O$323,0)</f>
        <v>-790008</v>
      </c>
      <c r="P225" s="90">
        <f>INDEX('Change in Proportion Layers'!$X$8:$X$321,MATCH('OPEB Amounts_Report'!A225,'Change in Proportion Layers'!$A$8:$A$321,0))</f>
        <v>93706</v>
      </c>
      <c r="Q225" s="90">
        <f t="shared" si="11"/>
        <v>-696302</v>
      </c>
    </row>
    <row r="226" spans="1:17" ht="12" customHeight="1">
      <c r="A226" s="62">
        <v>29305</v>
      </c>
      <c r="B226" s="66" t="s">
        <v>214</v>
      </c>
      <c r="C226" s="70">
        <f>ROUND(VLOOKUP(A226,'Contribution Allocation_Report'!$A$9:$D$310,4,FALSE)*'OPEB Amounts_Report'!$C$323,0)</f>
        <v>596540</v>
      </c>
      <c r="D226" s="70">
        <f>ROUND(VLOOKUP(A226,'Contribution Allocation_Report'!$A$9:$D$310,4,FALSE)*'OPEB Amounts_Report'!$D$323,0)</f>
        <v>8722</v>
      </c>
      <c r="E226" s="70">
        <f>ROUND(VLOOKUP(A226,'Contribution Allocation_Report'!$A$9:$D$310,4,FALSE)*'OPEB Amounts_Report'!$E$323,0)</f>
        <v>119433</v>
      </c>
      <c r="F226" s="70">
        <f>INDEX('Change in Proportion Layers'!$Z$8:$Z$321,MATCH('OPEB Amounts_Report'!A226,'Change in Proportion Layers'!$A$8:$A$321,0))</f>
        <v>104517</v>
      </c>
      <c r="G226" s="70">
        <f t="shared" si="9"/>
        <v>232672</v>
      </c>
      <c r="H226" s="70"/>
      <c r="I226" s="70">
        <f>ROUND(VLOOKUP(A226,'Contribution Allocation_Report'!$A$9:$D$310,4,FALSE)*'OPEB Amounts_Report'!$I$323,0)</f>
        <v>95136</v>
      </c>
      <c r="J226" s="70">
        <f>ROUND(VLOOKUP(A226,'Contribution Allocation_Report'!$A$9:$D$310,4,FALSE)*'OPEB Amounts_Report'!$J$323,0)</f>
        <v>17099</v>
      </c>
      <c r="K226" s="70">
        <f>ROUND(VLOOKUP(A226,'Contribution Allocation_Report'!$A$9:$D$310,4,FALSE)*'OPEB Amounts_Report'!$K$323,0)</f>
        <v>215671</v>
      </c>
      <c r="L226" s="70">
        <f>INDEX('Change in Proportion Layers'!$AA$8:$AA$321,MATCH('OPEB Amounts_Report'!A226,'Change in Proportion Layers'!$A$8:$A$321,0))</f>
        <v>52432</v>
      </c>
      <c r="M226" s="70">
        <f t="shared" si="10"/>
        <v>380338</v>
      </c>
      <c r="N226" s="71"/>
      <c r="O226" s="71">
        <f>ROUND(VLOOKUP(A226,'Contribution Allocation_Report'!$A$9:$D$310,4,FALSE)*'OPEB Amounts_Report'!$O$323,0)</f>
        <v>-64242</v>
      </c>
      <c r="P226" s="71">
        <f>INDEX('Change in Proportion Layers'!$X$8:$X$321,MATCH('OPEB Amounts_Report'!A226,'Change in Proportion Layers'!$A$8:$A$321,0))</f>
        <v>36446</v>
      </c>
      <c r="Q226" s="71">
        <f t="shared" si="11"/>
        <v>-27796</v>
      </c>
    </row>
    <row r="227" spans="1:17" ht="12" customHeight="1">
      <c r="A227" s="254">
        <v>10032</v>
      </c>
      <c r="B227" s="255" t="s">
        <v>215</v>
      </c>
      <c r="C227" s="89">
        <f>ROUND(VLOOKUP(A227,'Contribution Allocation_Report'!$A$9:$D$310,4,FALSE)*'OPEB Amounts_Report'!$C$323,0)</f>
        <v>843975</v>
      </c>
      <c r="D227" s="89">
        <f>ROUND(VLOOKUP(A227,'Contribution Allocation_Report'!$A$9:$D$310,4,FALSE)*'OPEB Amounts_Report'!$D$323,0)</f>
        <v>12340</v>
      </c>
      <c r="E227" s="89">
        <f>ROUND(VLOOKUP(A227,'Contribution Allocation_Report'!$A$9:$D$310,4,FALSE)*'OPEB Amounts_Report'!$E$323,0)</f>
        <v>168972</v>
      </c>
      <c r="F227" s="89">
        <f>INDEX('Change in Proportion Layers'!$Z$8:$Z$321,MATCH('OPEB Amounts_Report'!A227,'Change in Proportion Layers'!$A$8:$A$321,0))</f>
        <v>37974</v>
      </c>
      <c r="G227" s="89">
        <f t="shared" si="9"/>
        <v>219286</v>
      </c>
      <c r="H227" s="89"/>
      <c r="I227" s="89">
        <f>ROUND(VLOOKUP(A227,'Contribution Allocation_Report'!$A$9:$D$310,4,FALSE)*'OPEB Amounts_Report'!$I$323,0)</f>
        <v>134596</v>
      </c>
      <c r="J227" s="89">
        <f>ROUND(VLOOKUP(A227,'Contribution Allocation_Report'!$A$9:$D$310,4,FALSE)*'OPEB Amounts_Report'!$J$323,0)</f>
        <v>24192</v>
      </c>
      <c r="K227" s="89">
        <f>ROUND(VLOOKUP(A227,'Contribution Allocation_Report'!$A$9:$D$310,4,FALSE)*'OPEB Amounts_Report'!$K$323,0)</f>
        <v>305127</v>
      </c>
      <c r="L227" s="89">
        <f>INDEX('Change in Proportion Layers'!$AA$8:$AA$321,MATCH('OPEB Amounts_Report'!A227,'Change in Proportion Layers'!$A$8:$A$321,0))</f>
        <v>122741</v>
      </c>
      <c r="M227" s="89">
        <f t="shared" si="10"/>
        <v>586656</v>
      </c>
      <c r="N227" s="90"/>
      <c r="O227" s="90">
        <f>ROUND(VLOOKUP(A227,'Contribution Allocation_Report'!$A$9:$D$310,4,FALSE)*'OPEB Amounts_Report'!$O$323,0)</f>
        <v>-90889</v>
      </c>
      <c r="P227" s="90">
        <f>INDEX('Change in Proportion Layers'!$X$8:$X$321,MATCH('OPEB Amounts_Report'!A227,'Change in Proportion Layers'!$A$8:$A$321,0))</f>
        <v>-12693</v>
      </c>
      <c r="Q227" s="90">
        <f t="shared" si="11"/>
        <v>-103582</v>
      </c>
    </row>
    <row r="228" spans="1:17" ht="12" customHeight="1">
      <c r="A228" s="62">
        <v>32107</v>
      </c>
      <c r="B228" s="66" t="s">
        <v>216</v>
      </c>
      <c r="C228" s="70">
        <f>ROUND(VLOOKUP(A228,'Contribution Allocation_Report'!$A$9:$D$310,4,FALSE)*'OPEB Amounts_Report'!$C$323,0)</f>
        <v>1070680</v>
      </c>
      <c r="D228" s="70">
        <f>ROUND(VLOOKUP(A228,'Contribution Allocation_Report'!$A$9:$D$310,4,FALSE)*'OPEB Amounts_Report'!$D$323,0)</f>
        <v>15655</v>
      </c>
      <c r="E228" s="70">
        <f>ROUND(VLOOKUP(A228,'Contribution Allocation_Report'!$A$9:$D$310,4,FALSE)*'OPEB Amounts_Report'!$E$323,0)</f>
        <v>214360</v>
      </c>
      <c r="F228" s="70">
        <f>INDEX('Change in Proportion Layers'!$Z$8:$Z$321,MATCH('OPEB Amounts_Report'!A228,'Change in Proportion Layers'!$A$8:$A$321,0))</f>
        <v>39144</v>
      </c>
      <c r="G228" s="70">
        <f t="shared" si="9"/>
        <v>269159</v>
      </c>
      <c r="H228" s="70"/>
      <c r="I228" s="70">
        <f>ROUND(VLOOKUP(A228,'Contribution Allocation_Report'!$A$9:$D$310,4,FALSE)*'OPEB Amounts_Report'!$I$323,0)</f>
        <v>170751</v>
      </c>
      <c r="J228" s="70">
        <f>ROUND(VLOOKUP(A228,'Contribution Allocation_Report'!$A$9:$D$310,4,FALSE)*'OPEB Amounts_Report'!$J$323,0)</f>
        <v>30690</v>
      </c>
      <c r="K228" s="70">
        <f>ROUND(VLOOKUP(A228,'Contribution Allocation_Report'!$A$9:$D$310,4,FALSE)*'OPEB Amounts_Report'!$K$323,0)</f>
        <v>387089</v>
      </c>
      <c r="L228" s="70">
        <f>INDEX('Change in Proportion Layers'!$AA$8:$AA$321,MATCH('OPEB Amounts_Report'!A228,'Change in Proportion Layers'!$A$8:$A$321,0))</f>
        <v>451675</v>
      </c>
      <c r="M228" s="70">
        <f t="shared" si="10"/>
        <v>1040205</v>
      </c>
      <c r="N228" s="71"/>
      <c r="O228" s="71">
        <f>ROUND(VLOOKUP(A228,'Contribution Allocation_Report'!$A$9:$D$310,4,FALSE)*'OPEB Amounts_Report'!$O$323,0)</f>
        <v>-115303</v>
      </c>
      <c r="P228" s="71">
        <f>INDEX('Change in Proportion Layers'!$X$8:$X$321,MATCH('OPEB Amounts_Report'!A228,'Change in Proportion Layers'!$A$8:$A$321,0))</f>
        <v>-112726</v>
      </c>
      <c r="Q228" s="71">
        <f t="shared" si="11"/>
        <v>-228029</v>
      </c>
    </row>
    <row r="229" spans="1:17" ht="12" customHeight="1">
      <c r="A229" s="254">
        <v>3260</v>
      </c>
      <c r="B229" s="255" t="s">
        <v>217</v>
      </c>
      <c r="C229" s="89">
        <f>ROUND(VLOOKUP(A229,'Contribution Allocation_Report'!$A$9:$D$310,4,FALSE)*'OPEB Amounts_Report'!$C$323,0)</f>
        <v>19944455</v>
      </c>
      <c r="D229" s="89">
        <f>ROUND(VLOOKUP(A229,'Contribution Allocation_Report'!$A$9:$D$310,4,FALSE)*'OPEB Amounts_Report'!$D$323,0)</f>
        <v>291614</v>
      </c>
      <c r="E229" s="89">
        <f>ROUND(VLOOKUP(A229,'Contribution Allocation_Report'!$A$9:$D$310,4,FALSE)*'OPEB Amounts_Report'!$E$323,0)</f>
        <v>3993065</v>
      </c>
      <c r="F229" s="89">
        <f>INDEX('Change in Proportion Layers'!$Z$8:$Z$321,MATCH('OPEB Amounts_Report'!A229,'Change in Proportion Layers'!$A$8:$A$321,0))</f>
        <v>1008371</v>
      </c>
      <c r="G229" s="89">
        <f t="shared" si="9"/>
        <v>5293050</v>
      </c>
      <c r="H229" s="89"/>
      <c r="I229" s="89">
        <f>ROUND(VLOOKUP(A229,'Contribution Allocation_Report'!$A$9:$D$310,4,FALSE)*'OPEB Amounts_Report'!$I$323,0)</f>
        <v>3180726</v>
      </c>
      <c r="J229" s="89">
        <f>ROUND(VLOOKUP(A229,'Contribution Allocation_Report'!$A$9:$D$310,4,FALSE)*'OPEB Amounts_Report'!$J$323,0)</f>
        <v>571691</v>
      </c>
      <c r="K229" s="89">
        <f>ROUND(VLOOKUP(A229,'Contribution Allocation_Report'!$A$9:$D$310,4,FALSE)*'OPEB Amounts_Report'!$K$323,0)</f>
        <v>7210628</v>
      </c>
      <c r="L229" s="297">
        <f>INDEX('Change in Proportion Layers'!$AA$8:$AA$321,MATCH('OPEB Amounts_Report'!A229,'Change in Proportion Layers'!$A$8:$A$321,0))</f>
        <v>4425232</v>
      </c>
      <c r="M229" s="89">
        <f t="shared" si="10"/>
        <v>15388277</v>
      </c>
      <c r="N229" s="90"/>
      <c r="O229" s="90">
        <f>ROUND(VLOOKUP(A229,'Contribution Allocation_Report'!$A$9:$D$310,4,FALSE)*'OPEB Amounts_Report'!$O$323,0)</f>
        <v>-2147851</v>
      </c>
      <c r="P229" s="90">
        <f>INDEX('Change in Proportion Layers'!$X$8:$X$321,MATCH('OPEB Amounts_Report'!A229,'Change in Proportion Layers'!$A$8:$A$321,0))</f>
        <v>-777441</v>
      </c>
      <c r="Q229" s="90">
        <f t="shared" si="11"/>
        <v>-2925292</v>
      </c>
    </row>
    <row r="230" spans="1:17" ht="12" customHeight="1">
      <c r="A230" s="62">
        <v>4390</v>
      </c>
      <c r="B230" s="66" t="s">
        <v>218</v>
      </c>
      <c r="C230" s="70">
        <f>ROUND(VLOOKUP(A230,'Contribution Allocation_Report'!$A$9:$D$310,4,FALSE)*'OPEB Amounts_Report'!$C$323,0)</f>
        <v>203673</v>
      </c>
      <c r="D230" s="70">
        <f>ROUND(VLOOKUP(A230,'Contribution Allocation_Report'!$A$9:$D$310,4,FALSE)*'OPEB Amounts_Report'!$D$323,0)</f>
        <v>2978</v>
      </c>
      <c r="E230" s="70">
        <f>ROUND(VLOOKUP(A230,'Contribution Allocation_Report'!$A$9:$D$310,4,FALSE)*'OPEB Amounts_Report'!$E$323,0)</f>
        <v>40777</v>
      </c>
      <c r="F230" s="70">
        <f>INDEX('Change in Proportion Layers'!$Z$8:$Z$321,MATCH('OPEB Amounts_Report'!A230,'Change in Proportion Layers'!$A$8:$A$321,0))</f>
        <v>32873</v>
      </c>
      <c r="G230" s="70">
        <f t="shared" si="9"/>
        <v>76628</v>
      </c>
      <c r="H230" s="70"/>
      <c r="I230" s="70">
        <f>ROUND(VLOOKUP(A230,'Contribution Allocation_Report'!$A$9:$D$310,4,FALSE)*'OPEB Amounts_Report'!$I$323,0)</f>
        <v>32482</v>
      </c>
      <c r="J230" s="70">
        <f>ROUND(VLOOKUP(A230,'Contribution Allocation_Report'!$A$9:$D$310,4,FALSE)*'OPEB Amounts_Report'!$J$323,0)</f>
        <v>5838</v>
      </c>
      <c r="K230" s="70">
        <f>ROUND(VLOOKUP(A230,'Contribution Allocation_Report'!$A$9:$D$310,4,FALSE)*'OPEB Amounts_Report'!$K$323,0)</f>
        <v>73635</v>
      </c>
      <c r="L230" s="296">
        <f>INDEX('Change in Proportion Layers'!$AA$8:$AA$321,MATCH('OPEB Amounts_Report'!A230,'Change in Proportion Layers'!$A$8:$A$321,0))</f>
        <v>5122</v>
      </c>
      <c r="M230" s="70">
        <f t="shared" si="10"/>
        <v>117077</v>
      </c>
      <c r="N230" s="71"/>
      <c r="O230" s="71">
        <f>ROUND(VLOOKUP(A230,'Contribution Allocation_Report'!$A$9:$D$310,4,FALSE)*'OPEB Amounts_Report'!$O$323,0)</f>
        <v>-21934</v>
      </c>
      <c r="P230" s="71">
        <f>INDEX('Change in Proportion Layers'!$X$8:$X$321,MATCH('OPEB Amounts_Report'!A230,'Change in Proportion Layers'!$A$8:$A$321,0))</f>
        <v>7771</v>
      </c>
      <c r="Q230" s="71">
        <f t="shared" si="11"/>
        <v>-14163</v>
      </c>
    </row>
    <row r="231" spans="1:17" ht="12" customHeight="1">
      <c r="A231" s="254">
        <v>3270</v>
      </c>
      <c r="B231" s="255" t="s">
        <v>219</v>
      </c>
      <c r="C231" s="89">
        <f>ROUND(VLOOKUP(A231,'Contribution Allocation_Report'!$A$9:$D$310,4,FALSE)*'OPEB Amounts_Report'!$C$323,0)</f>
        <v>2853062</v>
      </c>
      <c r="D231" s="89">
        <f>ROUND(VLOOKUP(A231,'Contribution Allocation_Report'!$A$9:$D$310,4,FALSE)*'OPEB Amounts_Report'!$D$323,0)</f>
        <v>41716</v>
      </c>
      <c r="E231" s="89">
        <f>ROUND(VLOOKUP(A231,'Contribution Allocation_Report'!$A$9:$D$310,4,FALSE)*'OPEB Amounts_Report'!$E$323,0)</f>
        <v>571209</v>
      </c>
      <c r="F231" s="89">
        <f>INDEX('Change in Proportion Layers'!$Z$8:$Z$321,MATCH('OPEB Amounts_Report'!A231,'Change in Proportion Layers'!$A$8:$A$321,0))</f>
        <v>2008</v>
      </c>
      <c r="G231" s="89">
        <f t="shared" si="9"/>
        <v>614933</v>
      </c>
      <c r="H231" s="89"/>
      <c r="I231" s="89">
        <f>ROUND(VLOOKUP(A231,'Contribution Allocation_Report'!$A$9:$D$310,4,FALSE)*'OPEB Amounts_Report'!$I$323,0)</f>
        <v>455004</v>
      </c>
      <c r="J231" s="89">
        <f>ROUND(VLOOKUP(A231,'Contribution Allocation_Report'!$A$9:$D$310,4,FALSE)*'OPEB Amounts_Report'!$J$323,0)</f>
        <v>81781</v>
      </c>
      <c r="K231" s="89">
        <f>ROUND(VLOOKUP(A231,'Contribution Allocation_Report'!$A$9:$D$310,4,FALSE)*'OPEB Amounts_Report'!$K$323,0)</f>
        <v>1031483</v>
      </c>
      <c r="L231" s="89">
        <f>INDEX('Change in Proportion Layers'!$AA$8:$AA$321,MATCH('OPEB Amounts_Report'!A231,'Change in Proportion Layers'!$A$8:$A$321,0))</f>
        <v>298413</v>
      </c>
      <c r="M231" s="89">
        <f t="shared" si="10"/>
        <v>1866681</v>
      </c>
      <c r="N231" s="90"/>
      <c r="O231" s="90">
        <f>ROUND(VLOOKUP(A231,'Contribution Allocation_Report'!$A$9:$D$310,4,FALSE)*'OPEB Amounts_Report'!$O$323,0)</f>
        <v>-307251</v>
      </c>
      <c r="P231" s="90">
        <f>INDEX('Change in Proportion Layers'!$X$8:$X$321,MATCH('OPEB Amounts_Report'!A231,'Change in Proportion Layers'!$A$8:$A$321,0))</f>
        <v>-68876</v>
      </c>
      <c r="Q231" s="90">
        <f t="shared" si="11"/>
        <v>-376127</v>
      </c>
    </row>
    <row r="232" spans="1:17" ht="12" customHeight="1">
      <c r="A232" s="62">
        <v>29303</v>
      </c>
      <c r="B232" s="66" t="s">
        <v>220</v>
      </c>
      <c r="C232" s="70">
        <f>ROUND(VLOOKUP(A232,'Contribution Allocation_Report'!$A$9:$D$310,4,FALSE)*'OPEB Amounts_Report'!$C$323,0)</f>
        <v>675180</v>
      </c>
      <c r="D232" s="70">
        <f>ROUND(VLOOKUP(A232,'Contribution Allocation_Report'!$A$9:$D$310,4,FALSE)*'OPEB Amounts_Report'!$D$323,0)</f>
        <v>9872</v>
      </c>
      <c r="E232" s="70">
        <f>ROUND(VLOOKUP(A232,'Contribution Allocation_Report'!$A$9:$D$310,4,FALSE)*'OPEB Amounts_Report'!$E$323,0)</f>
        <v>135177</v>
      </c>
      <c r="F232" s="70">
        <f>INDEX('Change in Proportion Layers'!$Z$8:$Z$321,MATCH('OPEB Amounts_Report'!A232,'Change in Proportion Layers'!$A$8:$A$321,0))</f>
        <v>413261</v>
      </c>
      <c r="G232" s="70">
        <f t="shared" si="9"/>
        <v>558310</v>
      </c>
      <c r="H232" s="70"/>
      <c r="I232" s="70">
        <f>ROUND(VLOOKUP(A232,'Contribution Allocation_Report'!$A$9:$D$310,4,FALSE)*'OPEB Amounts_Report'!$I$323,0)</f>
        <v>107677</v>
      </c>
      <c r="J232" s="70">
        <f>ROUND(VLOOKUP(A232,'Contribution Allocation_Report'!$A$9:$D$310,4,FALSE)*'OPEB Amounts_Report'!$J$323,0)</f>
        <v>19353</v>
      </c>
      <c r="K232" s="70">
        <f>ROUND(VLOOKUP(A232,'Contribution Allocation_Report'!$A$9:$D$310,4,FALSE)*'OPEB Amounts_Report'!$K$323,0)</f>
        <v>244101</v>
      </c>
      <c r="L232" s="70">
        <f>INDEX('Change in Proportion Layers'!$AA$8:$AA$321,MATCH('OPEB Amounts_Report'!A232,'Change in Proportion Layers'!$A$8:$A$321,0))</f>
        <v>43159</v>
      </c>
      <c r="M232" s="70">
        <f t="shared" si="10"/>
        <v>414290</v>
      </c>
      <c r="N232" s="71"/>
      <c r="O232" s="71">
        <f>ROUND(VLOOKUP(A232,'Contribution Allocation_Report'!$A$9:$D$310,4,FALSE)*'OPEB Amounts_Report'!$O$323,0)</f>
        <v>-72711</v>
      </c>
      <c r="P232" s="71">
        <f>INDEX('Change in Proportion Layers'!$X$8:$X$321,MATCH('OPEB Amounts_Report'!A232,'Change in Proportion Layers'!$A$8:$A$321,0))</f>
        <v>81790</v>
      </c>
      <c r="Q232" s="71">
        <f t="shared" si="11"/>
        <v>9079</v>
      </c>
    </row>
    <row r="233" spans="1:17" ht="12" customHeight="1">
      <c r="A233" s="254">
        <v>3280</v>
      </c>
      <c r="B233" s="255" t="s">
        <v>221</v>
      </c>
      <c r="C233" s="89">
        <f>ROUND(VLOOKUP(A233,'Contribution Allocation_Report'!$A$9:$D$310,4,FALSE)*'OPEB Amounts_Report'!$C$323,0)</f>
        <v>14035316</v>
      </c>
      <c r="D233" s="89">
        <f>ROUND(VLOOKUP(A233,'Contribution Allocation_Report'!$A$9:$D$310,4,FALSE)*'OPEB Amounts_Report'!$D$323,0)</f>
        <v>205215</v>
      </c>
      <c r="E233" s="89">
        <f>ROUND(VLOOKUP(A233,'Contribution Allocation_Report'!$A$9:$D$310,4,FALSE)*'OPEB Amounts_Report'!$E$323,0)</f>
        <v>2810000</v>
      </c>
      <c r="F233" s="89">
        <f>INDEX('Change in Proportion Layers'!$Z$8:$Z$321,MATCH('OPEB Amounts_Report'!A233,'Change in Proportion Layers'!$A$8:$A$321,0))</f>
        <v>2059461</v>
      </c>
      <c r="G233" s="89">
        <f t="shared" si="9"/>
        <v>5074676</v>
      </c>
      <c r="H233" s="89"/>
      <c r="I233" s="89">
        <f>ROUND(VLOOKUP(A233,'Contribution Allocation_Report'!$A$9:$D$310,4,FALSE)*'OPEB Amounts_Report'!$I$323,0)</f>
        <v>2238341</v>
      </c>
      <c r="J233" s="89">
        <f>ROUND(VLOOKUP(A233,'Contribution Allocation_Report'!$A$9:$D$310,4,FALSE)*'OPEB Amounts_Report'!$J$323,0)</f>
        <v>402310</v>
      </c>
      <c r="K233" s="89">
        <f>ROUND(VLOOKUP(A233,'Contribution Allocation_Report'!$A$9:$D$310,4,FALSE)*'OPEB Amounts_Report'!$K$323,0)</f>
        <v>5074264</v>
      </c>
      <c r="L233" s="89">
        <f>INDEX('Change in Proportion Layers'!$AA$8:$AA$321,MATCH('OPEB Amounts_Report'!A233,'Change in Proportion Layers'!$A$8:$A$321,0))</f>
        <v>2895238</v>
      </c>
      <c r="M233" s="89">
        <f t="shared" si="10"/>
        <v>10610153</v>
      </c>
      <c r="N233" s="90"/>
      <c r="O233" s="90">
        <f>ROUND(VLOOKUP(A233,'Contribution Allocation_Report'!$A$9:$D$310,4,FALSE)*'OPEB Amounts_Report'!$O$323,0)</f>
        <v>-1511486</v>
      </c>
      <c r="P233" s="90">
        <f>INDEX('Change in Proportion Layers'!$X$8:$X$321,MATCH('OPEB Amounts_Report'!A233,'Change in Proportion Layers'!$A$8:$A$321,0))</f>
        <v>-142278</v>
      </c>
      <c r="Q233" s="90">
        <f t="shared" si="11"/>
        <v>-1653764</v>
      </c>
    </row>
    <row r="234" spans="1:17" ht="12" customHeight="1">
      <c r="A234" s="62">
        <v>4260</v>
      </c>
      <c r="B234" s="66" t="s">
        <v>222</v>
      </c>
      <c r="C234" s="70">
        <f>ROUND(VLOOKUP(A234,'Contribution Allocation_Report'!$A$9:$D$310,4,FALSE)*'OPEB Amounts_Report'!$C$323,0)</f>
        <v>1030209</v>
      </c>
      <c r="D234" s="70">
        <f>ROUND(VLOOKUP(A234,'Contribution Allocation_Report'!$A$9:$D$310,4,FALSE)*'OPEB Amounts_Report'!$D$323,0)</f>
        <v>15063</v>
      </c>
      <c r="E234" s="70">
        <f>ROUND(VLOOKUP(A234,'Contribution Allocation_Report'!$A$9:$D$310,4,FALSE)*'OPEB Amounts_Report'!$E$323,0)</f>
        <v>206257</v>
      </c>
      <c r="F234" s="70">
        <f>INDEX('Change in Proportion Layers'!$Z$8:$Z$321,MATCH('OPEB Amounts_Report'!A234,'Change in Proportion Layers'!$A$8:$A$321,0))</f>
        <v>58112</v>
      </c>
      <c r="G234" s="70">
        <f t="shared" si="9"/>
        <v>279432</v>
      </c>
      <c r="H234" s="70"/>
      <c r="I234" s="70">
        <f>ROUND(VLOOKUP(A234,'Contribution Allocation_Report'!$A$9:$D$310,4,FALSE)*'OPEB Amounts_Report'!$I$323,0)</f>
        <v>164297</v>
      </c>
      <c r="J234" s="70">
        <f>ROUND(VLOOKUP(A234,'Contribution Allocation_Report'!$A$9:$D$310,4,FALSE)*'OPEB Amounts_Report'!$J$323,0)</f>
        <v>29530</v>
      </c>
      <c r="K234" s="70">
        <f>ROUND(VLOOKUP(A234,'Contribution Allocation_Report'!$A$9:$D$310,4,FALSE)*'OPEB Amounts_Report'!$K$323,0)</f>
        <v>372457</v>
      </c>
      <c r="L234" s="70">
        <f>INDEX('Change in Proportion Layers'!$AA$8:$AA$321,MATCH('OPEB Amounts_Report'!A234,'Change in Proportion Layers'!$A$8:$A$321,0))</f>
        <v>93296</v>
      </c>
      <c r="M234" s="70">
        <f t="shared" si="10"/>
        <v>659580</v>
      </c>
      <c r="N234" s="71"/>
      <c r="O234" s="71">
        <f>ROUND(VLOOKUP(A234,'Contribution Allocation_Report'!$A$9:$D$310,4,FALSE)*'OPEB Amounts_Report'!$O$323,0)</f>
        <v>-110945</v>
      </c>
      <c r="P234" s="71">
        <f>INDEX('Change in Proportion Layers'!$X$8:$X$321,MATCH('OPEB Amounts_Report'!A234,'Change in Proportion Layers'!$A$8:$A$321,0))</f>
        <v>7359</v>
      </c>
      <c r="Q234" s="71">
        <f t="shared" si="11"/>
        <v>-103586</v>
      </c>
    </row>
    <row r="235" spans="1:17" ht="12" customHeight="1">
      <c r="A235" s="254">
        <v>1003</v>
      </c>
      <c r="B235" s="255" t="s">
        <v>223</v>
      </c>
      <c r="C235" s="89">
        <f>ROUND(VLOOKUP(A235,'Contribution Allocation_Report'!$A$9:$D$310,4,FALSE)*'OPEB Amounts_Report'!$C$323,0)</f>
        <v>14390674</v>
      </c>
      <c r="D235" s="89">
        <f>ROUND(VLOOKUP(A235,'Contribution Allocation_Report'!$A$9:$D$310,4,FALSE)*'OPEB Amounts_Report'!$D$323,0)</f>
        <v>210411</v>
      </c>
      <c r="E235" s="89">
        <f>ROUND(VLOOKUP(A235,'Contribution Allocation_Report'!$A$9:$D$310,4,FALSE)*'OPEB Amounts_Report'!$E$323,0)</f>
        <v>2881146</v>
      </c>
      <c r="F235" s="89">
        <f>INDEX('Change in Proportion Layers'!$Z$8:$Z$321,MATCH('OPEB Amounts_Report'!A235,'Change in Proportion Layers'!$A$8:$A$321,0))</f>
        <v>0</v>
      </c>
      <c r="G235" s="89">
        <f t="shared" si="9"/>
        <v>3091557</v>
      </c>
      <c r="H235" s="89"/>
      <c r="I235" s="89">
        <f>ROUND(VLOOKUP(A235,'Contribution Allocation_Report'!$A$9:$D$310,4,FALSE)*'OPEB Amounts_Report'!$I$323,0)</f>
        <v>2295013</v>
      </c>
      <c r="J235" s="89">
        <f>ROUND(VLOOKUP(A235,'Contribution Allocation_Report'!$A$9:$D$310,4,FALSE)*'OPEB Amounts_Report'!$J$323,0)</f>
        <v>412496</v>
      </c>
      <c r="K235" s="89">
        <f>ROUND(VLOOKUP(A235,'Contribution Allocation_Report'!$A$9:$D$310,4,FALSE)*'OPEB Amounts_Report'!$K$323,0)</f>
        <v>5202739</v>
      </c>
      <c r="L235" s="297">
        <f>INDEX('Change in Proportion Layers'!$AA$8:$AA$321,MATCH('OPEB Amounts_Report'!A235,'Change in Proportion Layers'!$A$8:$A$321,0))</f>
        <v>3285954</v>
      </c>
      <c r="M235" s="89">
        <f t="shared" si="10"/>
        <v>11196202</v>
      </c>
      <c r="N235" s="90"/>
      <c r="O235" s="90">
        <f>ROUND(VLOOKUP(A235,'Contribution Allocation_Report'!$A$9:$D$310,4,FALSE)*'OPEB Amounts_Report'!$O$323,0)</f>
        <v>-1549755</v>
      </c>
      <c r="P235" s="90">
        <f>INDEX('Change in Proportion Layers'!$X$8:$X$321,MATCH('OPEB Amounts_Report'!A235,'Change in Proportion Layers'!$A$8:$A$321,0))</f>
        <v>-1053770</v>
      </c>
      <c r="Q235" s="90">
        <f t="shared" si="11"/>
        <v>-2603525</v>
      </c>
    </row>
    <row r="236" spans="1:17" ht="12" customHeight="1">
      <c r="A236" s="62">
        <v>3290</v>
      </c>
      <c r="B236" s="66" t="s">
        <v>224</v>
      </c>
      <c r="C236" s="70">
        <f>ROUND(VLOOKUP(A236,'Contribution Allocation_Report'!$A$9:$D$310,4,FALSE)*'OPEB Amounts_Report'!$C$323,0)</f>
        <v>30630853</v>
      </c>
      <c r="D236" s="70">
        <f>ROUND(VLOOKUP(A236,'Contribution Allocation_Report'!$A$9:$D$310,4,FALSE)*'OPEB Amounts_Report'!$D$323,0)</f>
        <v>447863</v>
      </c>
      <c r="E236" s="70">
        <f>ROUND(VLOOKUP(A236,'Contribution Allocation_Report'!$A$9:$D$310,4,FALSE)*'OPEB Amounts_Report'!$E$323,0)</f>
        <v>6132580</v>
      </c>
      <c r="F236" s="70">
        <f>INDEX('Change in Proportion Layers'!$Z$8:$Z$321,MATCH('OPEB Amounts_Report'!A236,'Change in Proportion Layers'!$A$8:$A$321,0))</f>
        <v>768323</v>
      </c>
      <c r="G236" s="70">
        <f t="shared" si="9"/>
        <v>7348766</v>
      </c>
      <c r="H236" s="70"/>
      <c r="I236" s="70">
        <f>ROUND(VLOOKUP(A236,'Contribution Allocation_Report'!$A$9:$D$310,4,FALSE)*'OPEB Amounts_Report'!$I$323,0)</f>
        <v>4884984</v>
      </c>
      <c r="J236" s="70">
        <f>ROUND(VLOOKUP(A236,'Contribution Allocation_Report'!$A$9:$D$310,4,FALSE)*'OPEB Amounts_Report'!$J$323,0)</f>
        <v>878008</v>
      </c>
      <c r="K236" s="70">
        <f>ROUND(VLOOKUP(A236,'Contribution Allocation_Report'!$A$9:$D$310,4,FALSE)*'OPEB Amounts_Report'!$K$323,0)</f>
        <v>11074139</v>
      </c>
      <c r="L236" s="296">
        <f>INDEX('Change in Proportion Layers'!$AA$8:$AA$321,MATCH('OPEB Amounts_Report'!A236,'Change in Proportion Layers'!$A$8:$A$321,0))</f>
        <v>4095590</v>
      </c>
      <c r="M236" s="70">
        <f t="shared" si="10"/>
        <v>20932721</v>
      </c>
      <c r="N236" s="71"/>
      <c r="O236" s="71">
        <f>ROUND(VLOOKUP(A236,'Contribution Allocation_Report'!$A$9:$D$310,4,FALSE)*'OPEB Amounts_Report'!$O$323,0)</f>
        <v>-3298687</v>
      </c>
      <c r="P236" s="71">
        <f>INDEX('Change in Proportion Layers'!$X$8:$X$321,MATCH('OPEB Amounts_Report'!A236,'Change in Proportion Layers'!$A$8:$A$321,0))</f>
        <v>-522592</v>
      </c>
      <c r="Q236" s="71">
        <f t="shared" si="11"/>
        <v>-3821279</v>
      </c>
    </row>
    <row r="237" spans="1:17" ht="12" customHeight="1">
      <c r="A237" s="254">
        <v>1002</v>
      </c>
      <c r="B237" s="255" t="s">
        <v>225</v>
      </c>
      <c r="C237" s="89">
        <f>ROUND(VLOOKUP(A237,'Contribution Allocation_Report'!$A$9:$D$310,4,FALSE)*'OPEB Amounts_Report'!$C$323,0)</f>
        <v>57348823</v>
      </c>
      <c r="D237" s="89">
        <f>ROUND(VLOOKUP(A237,'Contribution Allocation_Report'!$A$9:$D$310,4,FALSE)*'OPEB Amounts_Report'!$D$323,0)</f>
        <v>838515</v>
      </c>
      <c r="E237" s="89">
        <f>ROUND(VLOOKUP(A237,'Contribution Allocation_Report'!$A$9:$D$310,4,FALSE)*'OPEB Amounts_Report'!$E$323,0)</f>
        <v>11481765</v>
      </c>
      <c r="F237" s="89">
        <f>INDEX('Change in Proportion Layers'!$Z$8:$Z$321,MATCH('OPEB Amounts_Report'!A237,'Change in Proportion Layers'!$A$8:$A$321,0))</f>
        <v>2554933</v>
      </c>
      <c r="G237" s="89">
        <f t="shared" si="9"/>
        <v>14875213</v>
      </c>
      <c r="H237" s="89"/>
      <c r="I237" s="89">
        <f>ROUND(VLOOKUP(A237,'Contribution Allocation_Report'!$A$9:$D$310,4,FALSE)*'OPEB Amounts_Report'!$I$323,0)</f>
        <v>9145944</v>
      </c>
      <c r="J237" s="89">
        <f>ROUND(VLOOKUP(A237,'Contribution Allocation_Report'!$A$9:$D$310,4,FALSE)*'OPEB Amounts_Report'!$J$323,0)</f>
        <v>1643856</v>
      </c>
      <c r="K237" s="89">
        <f>ROUND(VLOOKUP(A237,'Contribution Allocation_Report'!$A$9:$D$310,4,FALSE)*'OPEB Amounts_Report'!$K$323,0)</f>
        <v>20733632</v>
      </c>
      <c r="L237" s="89">
        <f>INDEX('Change in Proportion Layers'!$AA$8:$AA$321,MATCH('OPEB Amounts_Report'!A237,'Change in Proportion Layers'!$A$8:$A$321,0))</f>
        <v>2374121</v>
      </c>
      <c r="M237" s="89">
        <f t="shared" si="10"/>
        <v>33897553</v>
      </c>
      <c r="N237" s="90"/>
      <c r="O237" s="90">
        <f>ROUND(VLOOKUP(A237,'Contribution Allocation_Report'!$A$9:$D$310,4,FALSE)*'OPEB Amounts_Report'!$O$323,0)</f>
        <v>-6175988</v>
      </c>
      <c r="P237" s="90">
        <f>INDEX('Change in Proportion Layers'!$X$8:$X$321,MATCH('OPEB Amounts_Report'!A237,'Change in Proportion Layers'!$A$8:$A$321,0))</f>
        <v>15254</v>
      </c>
      <c r="Q237" s="90">
        <f t="shared" si="11"/>
        <v>-6160734</v>
      </c>
    </row>
    <row r="238" spans="1:17" s="215" customFormat="1" ht="12" customHeight="1">
      <c r="A238" s="62">
        <v>4270</v>
      </c>
      <c r="B238" s="66" t="s">
        <v>449</v>
      </c>
      <c r="C238" s="70">
        <f>ROUND(VLOOKUP(A238,'Contribution Allocation_Report'!$A$9:$D$310,4,FALSE)*'OPEB Amounts_Report'!$C$323,0)</f>
        <v>1245068</v>
      </c>
      <c r="D238" s="70">
        <f>ROUND(VLOOKUP(A238,'Contribution Allocation_Report'!$A$9:$D$310,4,FALSE)*'OPEB Amounts_Report'!$D$323,0)</f>
        <v>18205</v>
      </c>
      <c r="E238" s="70">
        <f>ROUND(VLOOKUP(A238,'Contribution Allocation_Report'!$A$9:$D$310,4,FALSE)*'OPEB Amounts_Report'!$E$323,0)</f>
        <v>249274</v>
      </c>
      <c r="F238" s="70">
        <f>INDEX('Change in Proportion Layers'!$Z$8:$Z$321,MATCH('OPEB Amounts_Report'!A238,'Change in Proportion Layers'!$A$8:$A$321,0))</f>
        <v>1526191</v>
      </c>
      <c r="G238" s="70">
        <f t="shared" ref="G238" si="12">SUM(D238:F238)</f>
        <v>1793670</v>
      </c>
      <c r="H238" s="70"/>
      <c r="I238" s="70">
        <f>ROUND(VLOOKUP(A238,'Contribution Allocation_Report'!$A$9:$D$310,4,FALSE)*'OPEB Amounts_Report'!$I$323,0)</f>
        <v>198563</v>
      </c>
      <c r="J238" s="70">
        <f>ROUND(VLOOKUP(A238,'Contribution Allocation_Report'!$A$9:$D$310,4,FALSE)*'OPEB Amounts_Report'!$J$323,0)</f>
        <v>35689</v>
      </c>
      <c r="K238" s="70">
        <f>ROUND(VLOOKUP(A238,'Contribution Allocation_Report'!$A$9:$D$310,4,FALSE)*'OPEB Amounts_Report'!$K$323,0)</f>
        <v>450136</v>
      </c>
      <c r="L238" s="70">
        <f>INDEX('Change in Proportion Layers'!$AA$8:$AA$321,MATCH('OPEB Amounts_Report'!A238,'Change in Proportion Layers'!$A$8:$A$321,0))</f>
        <v>0</v>
      </c>
      <c r="M238" s="70">
        <f t="shared" ref="M238" si="13">SUM(I238:L238)</f>
        <v>684388</v>
      </c>
      <c r="N238" s="71"/>
      <c r="O238" s="71">
        <f>ROUND(VLOOKUP(A238,'Contribution Allocation_Report'!$A$9:$D$310,4,FALSE)*'OPEB Amounts_Report'!$O$323,0)</f>
        <v>-134083</v>
      </c>
      <c r="P238" s="71">
        <f>INDEX('Change in Proportion Layers'!$X$8:$X$321,MATCH('OPEB Amounts_Report'!A238,'Change in Proportion Layers'!$A$8:$A$321,0))</f>
        <v>306464</v>
      </c>
      <c r="Q238" s="71">
        <f t="shared" si="11"/>
        <v>172381</v>
      </c>
    </row>
    <row r="239" spans="1:17" ht="12" customHeight="1">
      <c r="A239" s="254">
        <v>24072</v>
      </c>
      <c r="B239" s="255" t="s">
        <v>226</v>
      </c>
      <c r="C239" s="89">
        <f>ROUND(VLOOKUP(A239,'Contribution Allocation_Report'!$A$9:$D$310,4,FALSE)*'OPEB Amounts_Report'!$C$323,0)</f>
        <v>4071479</v>
      </c>
      <c r="D239" s="89">
        <f>ROUND(VLOOKUP(A239,'Contribution Allocation_Report'!$A$9:$D$310,4,FALSE)*'OPEB Amounts_Report'!$D$323,0)</f>
        <v>59530</v>
      </c>
      <c r="E239" s="89">
        <f>ROUND(VLOOKUP(A239,'Contribution Allocation_Report'!$A$9:$D$310,4,FALSE)*'OPEB Amounts_Report'!$E$323,0)</f>
        <v>815148</v>
      </c>
      <c r="F239" s="89">
        <f>INDEX('Change in Proportion Layers'!$Z$8:$Z$321,MATCH('OPEB Amounts_Report'!A239,'Change in Proportion Layers'!$A$8:$A$321,0))</f>
        <v>672158</v>
      </c>
      <c r="G239" s="89">
        <f t="shared" si="9"/>
        <v>1546836</v>
      </c>
      <c r="H239" s="89"/>
      <c r="I239" s="89">
        <f>ROUND(VLOOKUP(A239,'Contribution Allocation_Report'!$A$9:$D$310,4,FALSE)*'OPEB Amounts_Report'!$I$323,0)</f>
        <v>649316</v>
      </c>
      <c r="J239" s="89">
        <f>ROUND(VLOOKUP(A239,'Contribution Allocation_Report'!$A$9:$D$310,4,FALSE)*'OPEB Amounts_Report'!$J$323,0)</f>
        <v>116705</v>
      </c>
      <c r="K239" s="89">
        <f>ROUND(VLOOKUP(A239,'Contribution Allocation_Report'!$A$9:$D$310,4,FALSE)*'OPEB Amounts_Report'!$K$323,0)</f>
        <v>1471984</v>
      </c>
      <c r="L239" s="297">
        <f>INDEX('Change in Proportion Layers'!$AA$8:$AA$321,MATCH('OPEB Amounts_Report'!A239,'Change in Proportion Layers'!$A$8:$A$321,0))</f>
        <v>149883</v>
      </c>
      <c r="M239" s="89">
        <f t="shared" si="10"/>
        <v>2387888</v>
      </c>
      <c r="N239" s="90"/>
      <c r="O239" s="90">
        <f>ROUND(VLOOKUP(A239,'Contribution Allocation_Report'!$A$9:$D$310,4,FALSE)*'OPEB Amounts_Report'!$O$323,0)</f>
        <v>-438464</v>
      </c>
      <c r="P239" s="90">
        <f>INDEX('Change in Proportion Layers'!$X$8:$X$321,MATCH('OPEB Amounts_Report'!A239,'Change in Proportion Layers'!$A$8:$A$321,0))</f>
        <v>66426</v>
      </c>
      <c r="Q239" s="90">
        <f t="shared" si="11"/>
        <v>-372038</v>
      </c>
    </row>
    <row r="240" spans="1:17" ht="12" customHeight="1">
      <c r="A240" s="62">
        <v>14366</v>
      </c>
      <c r="B240" s="66" t="s">
        <v>227</v>
      </c>
      <c r="C240" s="70">
        <f>ROUND(VLOOKUP(A240,'Contribution Allocation_Report'!$A$9:$D$310,4,FALSE)*'OPEB Amounts_Report'!$C$323,0)</f>
        <v>1855757</v>
      </c>
      <c r="D240" s="70">
        <f>ROUND(VLOOKUP(A240,'Contribution Allocation_Report'!$A$9:$D$310,4,FALSE)*'OPEB Amounts_Report'!$D$323,0)</f>
        <v>27134</v>
      </c>
      <c r="E240" s="70">
        <f>ROUND(VLOOKUP(A240,'Contribution Allocation_Report'!$A$9:$D$310,4,FALSE)*'OPEB Amounts_Report'!$E$323,0)</f>
        <v>371540</v>
      </c>
      <c r="F240" s="70">
        <f>INDEX('Change in Proportion Layers'!$Z$8:$Z$321,MATCH('OPEB Amounts_Report'!A240,'Change in Proportion Layers'!$A$8:$A$321,0))</f>
        <v>86506</v>
      </c>
      <c r="G240" s="70">
        <f t="shared" si="9"/>
        <v>485180</v>
      </c>
      <c r="H240" s="70"/>
      <c r="I240" s="70">
        <f>ROUND(VLOOKUP(A240,'Contribution Allocation_Report'!$A$9:$D$310,4,FALSE)*'OPEB Amounts_Report'!$I$323,0)</f>
        <v>295955</v>
      </c>
      <c r="J240" s="70">
        <f>ROUND(VLOOKUP(A240,'Contribution Allocation_Report'!$A$9:$D$310,4,FALSE)*'OPEB Amounts_Report'!$J$323,0)</f>
        <v>53194</v>
      </c>
      <c r="K240" s="70">
        <f>ROUND(VLOOKUP(A240,'Contribution Allocation_Report'!$A$9:$D$310,4,FALSE)*'OPEB Amounts_Report'!$K$323,0)</f>
        <v>670922</v>
      </c>
      <c r="L240" s="296">
        <f>INDEX('Change in Proportion Layers'!$AA$8:$AA$321,MATCH('OPEB Amounts_Report'!A240,'Change in Proportion Layers'!$A$8:$A$321,0))</f>
        <v>1507</v>
      </c>
      <c r="M240" s="70">
        <f t="shared" si="10"/>
        <v>1021578</v>
      </c>
      <c r="N240" s="71"/>
      <c r="O240" s="71">
        <f>ROUND(VLOOKUP(A240,'Contribution Allocation_Report'!$A$9:$D$310,4,FALSE)*'OPEB Amounts_Report'!$O$323,0)</f>
        <v>-199850</v>
      </c>
      <c r="P240" s="71">
        <f>INDEX('Change in Proportion Layers'!$X$8:$X$321,MATCH('OPEB Amounts_Report'!A240,'Change in Proportion Layers'!$A$8:$A$321,0))</f>
        <v>20743</v>
      </c>
      <c r="Q240" s="71">
        <f t="shared" si="11"/>
        <v>-179107</v>
      </c>
    </row>
    <row r="241" spans="1:17" ht="12" customHeight="1">
      <c r="A241" s="254">
        <v>4317</v>
      </c>
      <c r="B241" s="255" t="s">
        <v>228</v>
      </c>
      <c r="C241" s="89">
        <f>ROUND(VLOOKUP(A241,'Contribution Allocation_Report'!$A$9:$D$310,4,FALSE)*'OPEB Amounts_Report'!$C$323,0)</f>
        <v>701174</v>
      </c>
      <c r="D241" s="89">
        <f>ROUND(VLOOKUP(A241,'Contribution Allocation_Report'!$A$9:$D$310,4,FALSE)*'OPEB Amounts_Report'!$D$323,0)</f>
        <v>10252</v>
      </c>
      <c r="E241" s="89">
        <f>ROUND(VLOOKUP(A241,'Contribution Allocation_Report'!$A$9:$D$310,4,FALSE)*'OPEB Amounts_Report'!$E$323,0)</f>
        <v>140381</v>
      </c>
      <c r="F241" s="89">
        <f>INDEX('Change in Proportion Layers'!$Z$8:$Z$321,MATCH('OPEB Amounts_Report'!A241,'Change in Proportion Layers'!$A$8:$A$321,0))</f>
        <v>529049</v>
      </c>
      <c r="G241" s="89">
        <f t="shared" si="9"/>
        <v>679682</v>
      </c>
      <c r="H241" s="89"/>
      <c r="I241" s="89">
        <f>ROUND(VLOOKUP(A241,'Contribution Allocation_Report'!$A$9:$D$310,4,FALSE)*'OPEB Amounts_Report'!$I$323,0)</f>
        <v>111823</v>
      </c>
      <c r="J241" s="89">
        <f>ROUND(VLOOKUP(A241,'Contribution Allocation_Report'!$A$9:$D$310,4,FALSE)*'OPEB Amounts_Report'!$J$323,0)</f>
        <v>20099</v>
      </c>
      <c r="K241" s="89">
        <f>ROUND(VLOOKUP(A241,'Contribution Allocation_Report'!$A$9:$D$310,4,FALSE)*'OPEB Amounts_Report'!$K$323,0)</f>
        <v>253499</v>
      </c>
      <c r="L241" s="89">
        <f>INDEX('Change in Proportion Layers'!$AA$8:$AA$321,MATCH('OPEB Amounts_Report'!A241,'Change in Proportion Layers'!$A$8:$A$321,0))</f>
        <v>18402</v>
      </c>
      <c r="M241" s="89">
        <f t="shared" si="10"/>
        <v>403823</v>
      </c>
      <c r="N241" s="90"/>
      <c r="O241" s="90">
        <f>ROUND(VLOOKUP(A241,'Contribution Allocation_Report'!$A$9:$D$310,4,FALSE)*'OPEB Amounts_Report'!$O$323,0)</f>
        <v>-75511</v>
      </c>
      <c r="P241" s="90">
        <f>INDEX('Change in Proportion Layers'!$X$8:$X$321,MATCH('OPEB Amounts_Report'!A241,'Change in Proportion Layers'!$A$8:$A$321,0))</f>
        <v>95795</v>
      </c>
      <c r="Q241" s="90">
        <f t="shared" si="11"/>
        <v>20284</v>
      </c>
    </row>
    <row r="242" spans="1:17" ht="12" customHeight="1">
      <c r="A242" s="62">
        <v>32120</v>
      </c>
      <c r="B242" s="66" t="s">
        <v>229</v>
      </c>
      <c r="C242" s="70">
        <f>ROUND(VLOOKUP(A242,'Contribution Allocation_Report'!$A$9:$D$310,4,FALSE)*'OPEB Amounts_Report'!$C$323,0)</f>
        <v>819955</v>
      </c>
      <c r="D242" s="70">
        <f>ROUND(VLOOKUP(A242,'Contribution Allocation_Report'!$A$9:$D$310,4,FALSE)*'OPEB Amounts_Report'!$D$323,0)</f>
        <v>11989</v>
      </c>
      <c r="E242" s="70">
        <f>ROUND(VLOOKUP(A242,'Contribution Allocation_Report'!$A$9:$D$310,4,FALSE)*'OPEB Amounts_Report'!$E$323,0)</f>
        <v>164163</v>
      </c>
      <c r="F242" s="70">
        <f>INDEX('Change in Proportion Layers'!$Z$8:$Z$321,MATCH('OPEB Amounts_Report'!A242,'Change in Proportion Layers'!$A$8:$A$321,0))</f>
        <v>475280</v>
      </c>
      <c r="G242" s="70">
        <f t="shared" si="9"/>
        <v>651432</v>
      </c>
      <c r="H242" s="70"/>
      <c r="I242" s="70">
        <f>ROUND(VLOOKUP(A242,'Contribution Allocation_Report'!$A$9:$D$310,4,FALSE)*'OPEB Amounts_Report'!$I$323,0)</f>
        <v>130766</v>
      </c>
      <c r="J242" s="70">
        <f>ROUND(VLOOKUP(A242,'Contribution Allocation_Report'!$A$9:$D$310,4,FALSE)*'OPEB Amounts_Report'!$J$323,0)</f>
        <v>23503</v>
      </c>
      <c r="K242" s="70">
        <f>ROUND(VLOOKUP(A242,'Contribution Allocation_Report'!$A$9:$D$310,4,FALSE)*'OPEB Amounts_Report'!$K$323,0)</f>
        <v>296443</v>
      </c>
      <c r="L242" s="70">
        <f>INDEX('Change in Proportion Layers'!$AA$8:$AA$321,MATCH('OPEB Amounts_Report'!A242,'Change in Proportion Layers'!$A$8:$A$321,0))</f>
        <v>0</v>
      </c>
      <c r="M242" s="70">
        <f t="shared" si="10"/>
        <v>450712</v>
      </c>
      <c r="N242" s="71"/>
      <c r="O242" s="71">
        <f>ROUND(VLOOKUP(A242,'Contribution Allocation_Report'!$A$9:$D$310,4,FALSE)*'OPEB Amounts_Report'!$O$323,0)</f>
        <v>-88302</v>
      </c>
      <c r="P242" s="71">
        <f>INDEX('Change in Proportion Layers'!$X$8:$X$321,MATCH('OPEB Amounts_Report'!A242,'Change in Proportion Layers'!$A$8:$A$321,0))</f>
        <v>144257</v>
      </c>
      <c r="Q242" s="71">
        <f t="shared" si="11"/>
        <v>55955</v>
      </c>
    </row>
    <row r="243" spans="1:17" ht="12" customHeight="1">
      <c r="A243" s="254">
        <v>3300</v>
      </c>
      <c r="B243" s="255" t="s">
        <v>230</v>
      </c>
      <c r="C243" s="89">
        <f>ROUND(VLOOKUP(A243,'Contribution Allocation_Report'!$A$9:$D$310,4,FALSE)*'OPEB Amounts_Report'!$C$323,0)</f>
        <v>1982765</v>
      </c>
      <c r="D243" s="89">
        <f>ROUND(VLOOKUP(A243,'Contribution Allocation_Report'!$A$9:$D$310,4,FALSE)*'OPEB Amounts_Report'!$D$323,0)</f>
        <v>28991</v>
      </c>
      <c r="E243" s="89">
        <f>ROUND(VLOOKUP(A243,'Contribution Allocation_Report'!$A$9:$D$310,4,FALSE)*'OPEB Amounts_Report'!$E$323,0)</f>
        <v>396968</v>
      </c>
      <c r="F243" s="89">
        <f>INDEX('Change in Proportion Layers'!$Z$8:$Z$321,MATCH('OPEB Amounts_Report'!A243,'Change in Proportion Layers'!$A$8:$A$321,0))</f>
        <v>1092904</v>
      </c>
      <c r="G243" s="89">
        <f t="shared" si="9"/>
        <v>1518863</v>
      </c>
      <c r="H243" s="89"/>
      <c r="I243" s="89">
        <f>ROUND(VLOOKUP(A243,'Contribution Allocation_Report'!$A$9:$D$310,4,FALSE)*'OPEB Amounts_Report'!$I$323,0)</f>
        <v>316210</v>
      </c>
      <c r="J243" s="89">
        <f>ROUND(VLOOKUP(A243,'Contribution Allocation_Report'!$A$9:$D$310,4,FALSE)*'OPEB Amounts_Report'!$J$323,0)</f>
        <v>56834</v>
      </c>
      <c r="K243" s="89">
        <f>ROUND(VLOOKUP(A243,'Contribution Allocation_Report'!$A$9:$D$310,4,FALSE)*'OPEB Amounts_Report'!$K$323,0)</f>
        <v>716840</v>
      </c>
      <c r="L243" s="89">
        <f>INDEX('Change in Proportion Layers'!$AA$8:$AA$321,MATCH('OPEB Amounts_Report'!A243,'Change in Proportion Layers'!$A$8:$A$321,0))</f>
        <v>250557</v>
      </c>
      <c r="M243" s="89">
        <f t="shared" si="10"/>
        <v>1340441</v>
      </c>
      <c r="N243" s="90"/>
      <c r="O243" s="90">
        <f>ROUND(VLOOKUP(A243,'Contribution Allocation_Report'!$A$9:$D$310,4,FALSE)*'OPEB Amounts_Report'!$O$323,0)</f>
        <v>-213527</v>
      </c>
      <c r="P243" s="90">
        <f>INDEX('Change in Proportion Layers'!$X$8:$X$321,MATCH('OPEB Amounts_Report'!A243,'Change in Proportion Layers'!$A$8:$A$321,0))</f>
        <v>571010</v>
      </c>
      <c r="Q243" s="90">
        <f t="shared" si="11"/>
        <v>357483</v>
      </c>
    </row>
    <row r="244" spans="1:17" ht="12" customHeight="1">
      <c r="A244" s="62">
        <v>8026</v>
      </c>
      <c r="B244" s="66" t="s">
        <v>231</v>
      </c>
      <c r="C244" s="70">
        <f>ROUND(VLOOKUP(A244,'Contribution Allocation_Report'!$A$9:$D$310,4,FALSE)*'OPEB Amounts_Report'!$C$323,0)</f>
        <v>11168763</v>
      </c>
      <c r="D244" s="70">
        <f>ROUND(VLOOKUP(A244,'Contribution Allocation_Report'!$A$9:$D$310,4,FALSE)*'OPEB Amounts_Report'!$D$323,0)</f>
        <v>163302</v>
      </c>
      <c r="E244" s="70">
        <f>ROUND(VLOOKUP(A244,'Contribution Allocation_Report'!$A$9:$D$310,4,FALSE)*'OPEB Amounts_Report'!$E$323,0)</f>
        <v>2236090</v>
      </c>
      <c r="F244" s="70">
        <f>INDEX('Change in Proportion Layers'!$Z$8:$Z$321,MATCH('OPEB Amounts_Report'!A244,'Change in Proportion Layers'!$A$8:$A$321,0))</f>
        <v>0</v>
      </c>
      <c r="G244" s="70">
        <f t="shared" si="9"/>
        <v>2399392</v>
      </c>
      <c r="H244" s="70"/>
      <c r="I244" s="70">
        <f>ROUND(VLOOKUP(A244,'Contribution Allocation_Report'!$A$9:$D$310,4,FALSE)*'OPEB Amounts_Report'!$I$323,0)</f>
        <v>1781185</v>
      </c>
      <c r="J244" s="70">
        <f>ROUND(VLOOKUP(A244,'Contribution Allocation_Report'!$A$9:$D$310,4,FALSE)*'OPEB Amounts_Report'!$J$323,0)</f>
        <v>320143</v>
      </c>
      <c r="K244" s="70">
        <f>ROUND(VLOOKUP(A244,'Contribution Allocation_Report'!$A$9:$D$310,4,FALSE)*'OPEB Amounts_Report'!$K$323,0)</f>
        <v>4037904</v>
      </c>
      <c r="L244" s="70">
        <f>INDEX('Change in Proportion Layers'!$AA$8:$AA$321,MATCH('OPEB Amounts_Report'!A244,'Change in Proportion Layers'!$A$8:$A$321,0))</f>
        <v>1232486</v>
      </c>
      <c r="M244" s="70">
        <f t="shared" si="10"/>
        <v>7371718</v>
      </c>
      <c r="N244" s="71"/>
      <c r="O244" s="71">
        <f>ROUND(VLOOKUP(A244,'Contribution Allocation_Report'!$A$9:$D$310,4,FALSE)*'OPEB Amounts_Report'!$O$323,0)</f>
        <v>-1202782</v>
      </c>
      <c r="P244" s="71">
        <f>INDEX('Change in Proportion Layers'!$X$8:$X$321,MATCH('OPEB Amounts_Report'!A244,'Change in Proportion Layers'!$A$8:$A$321,0))</f>
        <v>-310979</v>
      </c>
      <c r="Q244" s="71">
        <f t="shared" si="11"/>
        <v>-1513761</v>
      </c>
    </row>
    <row r="245" spans="1:17" ht="12" customHeight="1">
      <c r="A245" s="254">
        <v>32119</v>
      </c>
      <c r="B245" s="255" t="s">
        <v>232</v>
      </c>
      <c r="C245" s="89">
        <f>ROUND(VLOOKUP(A245,'Contribution Allocation_Report'!$A$9:$D$310,4,FALSE)*'OPEB Amounts_Report'!$C$323,0)</f>
        <v>378390</v>
      </c>
      <c r="D245" s="89">
        <f>ROUND(VLOOKUP(A245,'Contribution Allocation_Report'!$A$9:$D$310,4,FALSE)*'OPEB Amounts_Report'!$D$323,0)</f>
        <v>5533</v>
      </c>
      <c r="E245" s="89">
        <f>ROUND(VLOOKUP(A245,'Contribution Allocation_Report'!$A$9:$D$310,4,FALSE)*'OPEB Amounts_Report'!$E$323,0)</f>
        <v>75757</v>
      </c>
      <c r="F245" s="89">
        <f>INDEX('Change in Proportion Layers'!$Z$8:$Z$321,MATCH('OPEB Amounts_Report'!A245,'Change in Proportion Layers'!$A$8:$A$321,0))</f>
        <v>198384</v>
      </c>
      <c r="G245" s="89">
        <f t="shared" si="9"/>
        <v>279674</v>
      </c>
      <c r="H245" s="89"/>
      <c r="I245" s="89">
        <f>ROUND(VLOOKUP(A245,'Contribution Allocation_Report'!$A$9:$D$310,4,FALSE)*'OPEB Amounts_Report'!$I$323,0)</f>
        <v>60345</v>
      </c>
      <c r="J245" s="89">
        <f>ROUND(VLOOKUP(A245,'Contribution Allocation_Report'!$A$9:$D$310,4,FALSE)*'OPEB Amounts_Report'!$J$323,0)</f>
        <v>10846</v>
      </c>
      <c r="K245" s="89">
        <f>ROUND(VLOOKUP(A245,'Contribution Allocation_Report'!$A$9:$D$310,4,FALSE)*'OPEB Amounts_Report'!$K$323,0)</f>
        <v>136801</v>
      </c>
      <c r="L245" s="297">
        <f>INDEX('Change in Proportion Layers'!$AA$8:$AA$321,MATCH('OPEB Amounts_Report'!A245,'Change in Proportion Layers'!$A$8:$A$321,0))</f>
        <v>74504</v>
      </c>
      <c r="M245" s="89">
        <f t="shared" si="10"/>
        <v>282496</v>
      </c>
      <c r="N245" s="90"/>
      <c r="O245" s="90">
        <f>ROUND(VLOOKUP(A245,'Contribution Allocation_Report'!$A$9:$D$310,4,FALSE)*'OPEB Amounts_Report'!$O$323,0)</f>
        <v>-40749</v>
      </c>
      <c r="P245" s="90">
        <f>INDEX('Change in Proportion Layers'!$X$8:$X$321,MATCH('OPEB Amounts_Report'!A245,'Change in Proportion Layers'!$A$8:$A$321,0))</f>
        <v>57327</v>
      </c>
      <c r="Q245" s="90">
        <f t="shared" si="11"/>
        <v>16578</v>
      </c>
    </row>
    <row r="246" spans="1:17" ht="12" customHeight="1">
      <c r="A246" s="62">
        <v>25076</v>
      </c>
      <c r="B246" s="66" t="s">
        <v>233</v>
      </c>
      <c r="C246" s="70">
        <f>ROUND(VLOOKUP(A246,'Contribution Allocation_Report'!$A$9:$D$310,4,FALSE)*'OPEB Amounts_Report'!$C$323,0)</f>
        <v>6747191</v>
      </c>
      <c r="D246" s="70">
        <f>ROUND(VLOOKUP(A246,'Contribution Allocation_Report'!$A$9:$D$310,4,FALSE)*'OPEB Amounts_Report'!$D$323,0)</f>
        <v>98653</v>
      </c>
      <c r="E246" s="70">
        <f>ROUND(VLOOKUP(A246,'Contribution Allocation_Report'!$A$9:$D$310,4,FALSE)*'OPEB Amounts_Report'!$E$323,0)</f>
        <v>1350850</v>
      </c>
      <c r="F246" s="70">
        <f>INDEX('Change in Proportion Layers'!$Z$8:$Z$321,MATCH('OPEB Amounts_Report'!A246,'Change in Proportion Layers'!$A$8:$A$321,0))</f>
        <v>282547</v>
      </c>
      <c r="G246" s="70">
        <f t="shared" si="9"/>
        <v>1732050</v>
      </c>
      <c r="H246" s="70"/>
      <c r="I246" s="70">
        <f>ROUND(VLOOKUP(A246,'Contribution Allocation_Report'!$A$9:$D$310,4,FALSE)*'OPEB Amounts_Report'!$I$323,0)</f>
        <v>1076037</v>
      </c>
      <c r="J246" s="70">
        <f>ROUND(VLOOKUP(A246,'Contribution Allocation_Report'!$A$9:$D$310,4,FALSE)*'OPEB Amounts_Report'!$J$323,0)</f>
        <v>193403</v>
      </c>
      <c r="K246" s="70">
        <f>ROUND(VLOOKUP(A246,'Contribution Allocation_Report'!$A$9:$D$310,4,FALSE)*'OPEB Amounts_Report'!$K$323,0)</f>
        <v>2439349</v>
      </c>
      <c r="L246" s="296">
        <f>INDEX('Change in Proportion Layers'!$AA$8:$AA$321,MATCH('OPEB Amounts_Report'!A246,'Change in Proportion Layers'!$A$8:$A$321,0))</f>
        <v>488688</v>
      </c>
      <c r="M246" s="70">
        <f t="shared" si="10"/>
        <v>4197477</v>
      </c>
      <c r="N246" s="71"/>
      <c r="O246" s="71">
        <f>ROUND(VLOOKUP(A246,'Contribution Allocation_Report'!$A$9:$D$310,4,FALSE)*'OPEB Amounts_Report'!$O$323,0)</f>
        <v>-726616</v>
      </c>
      <c r="P246" s="71">
        <f>INDEX('Change in Proportion Layers'!$X$8:$X$321,MATCH('OPEB Amounts_Report'!A246,'Change in Proportion Layers'!$A$8:$A$321,0))</f>
        <v>-39584</v>
      </c>
      <c r="Q246" s="71">
        <f t="shared" si="11"/>
        <v>-766200</v>
      </c>
    </row>
    <row r="247" spans="1:17" ht="12" customHeight="1">
      <c r="A247" s="254">
        <v>2440</v>
      </c>
      <c r="B247" s="255" t="s">
        <v>414</v>
      </c>
      <c r="C247" s="89">
        <f>ROUND(VLOOKUP(A247,'Contribution Allocation_Report'!$A$9:$D$310,4,FALSE)*'OPEB Amounts_Report'!$C$323,0)</f>
        <v>659386</v>
      </c>
      <c r="D247" s="89">
        <f>ROUND(VLOOKUP(A247,'Contribution Allocation_Report'!$A$9:$D$310,4,FALSE)*'OPEB Amounts_Report'!$D$323,0)</f>
        <v>9641</v>
      </c>
      <c r="E247" s="89">
        <f>ROUND(VLOOKUP(A247,'Contribution Allocation_Report'!$A$9:$D$310,4,FALSE)*'OPEB Amounts_Report'!$E$323,0)</f>
        <v>132015</v>
      </c>
      <c r="F247" s="89">
        <f>INDEX('Change in Proportion Layers'!$Z$8:$Z$321,MATCH('OPEB Amounts_Report'!A247,'Change in Proportion Layers'!$A$8:$A$321,0))</f>
        <v>722449</v>
      </c>
      <c r="G247" s="89">
        <f t="shared" si="9"/>
        <v>864105</v>
      </c>
      <c r="H247" s="89"/>
      <c r="I247" s="89">
        <f>ROUND(VLOOKUP(A247,'Contribution Allocation_Report'!$A$9:$D$310,4,FALSE)*'OPEB Amounts_Report'!$I$323,0)</f>
        <v>105158</v>
      </c>
      <c r="J247" s="89">
        <f>ROUND(VLOOKUP(A247,'Contribution Allocation_Report'!$A$9:$D$310,4,FALSE)*'OPEB Amounts_Report'!$J$323,0)</f>
        <v>18901</v>
      </c>
      <c r="K247" s="89">
        <f>ROUND(VLOOKUP(A247,'Contribution Allocation_Report'!$A$9:$D$310,4,FALSE)*'OPEB Amounts_Report'!$K$323,0)</f>
        <v>238391</v>
      </c>
      <c r="L247" s="297">
        <f>INDEX('Change in Proportion Layers'!$AA$8:$AA$321,MATCH('OPEB Amounts_Report'!A247,'Change in Proportion Layers'!$A$8:$A$321,0))</f>
        <v>0</v>
      </c>
      <c r="M247" s="89">
        <f t="shared" si="10"/>
        <v>362450</v>
      </c>
      <c r="N247" s="90"/>
      <c r="O247" s="90">
        <f>ROUND(VLOOKUP(A247,'Contribution Allocation_Report'!$A$9:$D$310,4,FALSE)*'OPEB Amounts_Report'!$O$323,0)</f>
        <v>-71010</v>
      </c>
      <c r="P247" s="90">
        <f>INDEX('Change in Proportion Layers'!$X$8:$X$321,MATCH('OPEB Amounts_Report'!A247,'Change in Proportion Layers'!$A$8:$A$321,0))</f>
        <v>169349</v>
      </c>
      <c r="Q247" s="90">
        <f t="shared" si="11"/>
        <v>98339</v>
      </c>
    </row>
    <row r="248" spans="1:17" ht="12" customHeight="1">
      <c r="A248" s="62">
        <v>2309</v>
      </c>
      <c r="B248" s="66" t="s">
        <v>234</v>
      </c>
      <c r="C248" s="70">
        <f>ROUND(VLOOKUP(A248,'Contribution Allocation_Report'!$A$9:$D$310,4,FALSE)*'OPEB Amounts_Report'!$C$323,0)</f>
        <v>2875766</v>
      </c>
      <c r="D248" s="70">
        <f>ROUND(VLOOKUP(A248,'Contribution Allocation_Report'!$A$9:$D$310,4,FALSE)*'OPEB Amounts_Report'!$D$323,0)</f>
        <v>42047</v>
      </c>
      <c r="E248" s="70">
        <f>ROUND(VLOOKUP(A248,'Contribution Allocation_Report'!$A$9:$D$310,4,FALSE)*'OPEB Amounts_Report'!$E$323,0)</f>
        <v>575755</v>
      </c>
      <c r="F248" s="70">
        <f>INDEX('Change in Proportion Layers'!$Z$8:$Z$321,MATCH('OPEB Amounts_Report'!A248,'Change in Proportion Layers'!$A$8:$A$321,0))</f>
        <v>416544</v>
      </c>
      <c r="G248" s="70">
        <f t="shared" si="9"/>
        <v>1034346</v>
      </c>
      <c r="H248" s="70"/>
      <c r="I248" s="70">
        <f>ROUND(VLOOKUP(A248,'Contribution Allocation_Report'!$A$9:$D$310,4,FALSE)*'OPEB Amounts_Report'!$I$323,0)</f>
        <v>458625</v>
      </c>
      <c r="J248" s="70">
        <f>ROUND(VLOOKUP(A248,'Contribution Allocation_Report'!$A$9:$D$310,4,FALSE)*'OPEB Amounts_Report'!$J$323,0)</f>
        <v>82431</v>
      </c>
      <c r="K248" s="70">
        <f>ROUND(VLOOKUP(A248,'Contribution Allocation_Report'!$A$9:$D$310,4,FALSE)*'OPEB Amounts_Report'!$K$323,0)</f>
        <v>1039691</v>
      </c>
      <c r="L248" s="296">
        <f>INDEX('Change in Proportion Layers'!$AA$8:$AA$321,MATCH('OPEB Amounts_Report'!A248,'Change in Proportion Layers'!$A$8:$A$321,0))</f>
        <v>28687</v>
      </c>
      <c r="M248" s="70">
        <f t="shared" si="10"/>
        <v>1609434</v>
      </c>
      <c r="N248" s="71"/>
      <c r="O248" s="71">
        <f>ROUND(VLOOKUP(A248,'Contribution Allocation_Report'!$A$9:$D$310,4,FALSE)*'OPEB Amounts_Report'!$O$323,0)</f>
        <v>-309696</v>
      </c>
      <c r="P248" s="71">
        <f>INDEX('Change in Proportion Layers'!$X$8:$X$321,MATCH('OPEB Amounts_Report'!A248,'Change in Proportion Layers'!$A$8:$A$321,0))</f>
        <v>114629</v>
      </c>
      <c r="Q248" s="71">
        <f t="shared" si="11"/>
        <v>-195067</v>
      </c>
    </row>
    <row r="249" spans="1:17" ht="12" customHeight="1">
      <c r="A249" s="254">
        <v>2396</v>
      </c>
      <c r="B249" s="255" t="s">
        <v>235</v>
      </c>
      <c r="C249" s="89">
        <f>ROUND(VLOOKUP(A249,'Contribution Allocation_Report'!$A$9:$D$310,4,FALSE)*'OPEB Amounts_Report'!$C$323,0)</f>
        <v>763690</v>
      </c>
      <c r="D249" s="89">
        <f>ROUND(VLOOKUP(A249,'Contribution Allocation_Report'!$A$9:$D$310,4,FALSE)*'OPEB Amounts_Report'!$D$323,0)</f>
        <v>11166</v>
      </c>
      <c r="E249" s="89">
        <f>ROUND(VLOOKUP(A249,'Contribution Allocation_Report'!$A$9:$D$310,4,FALSE)*'OPEB Amounts_Report'!$E$323,0)</f>
        <v>152898</v>
      </c>
      <c r="F249" s="89">
        <f>INDEX('Change in Proportion Layers'!$Z$8:$Z$321,MATCH('OPEB Amounts_Report'!A249,'Change in Proportion Layers'!$A$8:$A$321,0))</f>
        <v>205577</v>
      </c>
      <c r="G249" s="89">
        <f t="shared" si="9"/>
        <v>369641</v>
      </c>
      <c r="H249" s="89"/>
      <c r="I249" s="89">
        <f>ROUND(VLOOKUP(A249,'Contribution Allocation_Report'!$A$9:$D$310,4,FALSE)*'OPEB Amounts_Report'!$I$323,0)</f>
        <v>121793</v>
      </c>
      <c r="J249" s="89">
        <f>ROUND(VLOOKUP(A249,'Contribution Allocation_Report'!$A$9:$D$310,4,FALSE)*'OPEB Amounts_Report'!$J$323,0)</f>
        <v>21891</v>
      </c>
      <c r="K249" s="89">
        <f>ROUND(VLOOKUP(A249,'Contribution Allocation_Report'!$A$9:$D$310,4,FALSE)*'OPEB Amounts_Report'!$K$323,0)</f>
        <v>276101</v>
      </c>
      <c r="L249" s="297">
        <f>INDEX('Change in Proportion Layers'!$AA$8:$AA$321,MATCH('OPEB Amounts_Report'!A249,'Change in Proportion Layers'!$A$8:$A$321,0))</f>
        <v>15224</v>
      </c>
      <c r="M249" s="89">
        <f t="shared" si="10"/>
        <v>435009</v>
      </c>
      <c r="N249" s="90"/>
      <c r="O249" s="90">
        <f>ROUND(VLOOKUP(A249,'Contribution Allocation_Report'!$A$9:$D$310,4,FALSE)*'OPEB Amounts_Report'!$O$323,0)</f>
        <v>-82243</v>
      </c>
      <c r="P249" s="90">
        <f>INDEX('Change in Proportion Layers'!$X$8:$X$321,MATCH('OPEB Amounts_Report'!A249,'Change in Proportion Layers'!$A$8:$A$321,0))</f>
        <v>45636</v>
      </c>
      <c r="Q249" s="90">
        <f t="shared" si="11"/>
        <v>-36607</v>
      </c>
    </row>
    <row r="250" spans="1:17" ht="12" customHeight="1">
      <c r="A250" s="62">
        <v>3380</v>
      </c>
      <c r="B250" s="63" t="s">
        <v>236</v>
      </c>
      <c r="C250" s="171">
        <f>ROUND(VLOOKUP(A250,'Contribution Allocation_Report'!$A$9:$D$310,4,FALSE)*'OPEB Amounts_Report'!$C$323,0)</f>
        <v>616612</v>
      </c>
      <c r="D250" s="171">
        <f>ROUND(VLOOKUP(A250,'Contribution Allocation_Report'!$A$9:$D$310,4,FALSE)*'OPEB Amounts_Report'!$D$323,0)</f>
        <v>9016</v>
      </c>
      <c r="E250" s="171">
        <f>ROUND(VLOOKUP(A250,'Contribution Allocation_Report'!$A$9:$D$310,4,FALSE)*'OPEB Amounts_Report'!$E$323,0)</f>
        <v>123451</v>
      </c>
      <c r="F250" s="171">
        <f>INDEX('Change in Proportion Layers'!$Z$8:$Z$321,MATCH('OPEB Amounts_Report'!A250,'Change in Proportion Layers'!$A$8:$A$321,0))</f>
        <v>71392</v>
      </c>
      <c r="G250" s="171">
        <f t="shared" si="9"/>
        <v>203859</v>
      </c>
      <c r="H250" s="171"/>
      <c r="I250" s="171">
        <f>ROUND(VLOOKUP(A250,'Contribution Allocation_Report'!$A$9:$D$310,4,FALSE)*'OPEB Amounts_Report'!$I$323,0)</f>
        <v>98337</v>
      </c>
      <c r="J250" s="171">
        <f>ROUND(VLOOKUP(A250,'Contribution Allocation_Report'!$A$9:$D$310,4,FALSE)*'OPEB Amounts_Report'!$J$323,0)</f>
        <v>17675</v>
      </c>
      <c r="K250" s="171">
        <f>ROUND(VLOOKUP(A250,'Contribution Allocation_Report'!$A$9:$D$310,4,FALSE)*'OPEB Amounts_Report'!$K$323,0)</f>
        <v>222927</v>
      </c>
      <c r="L250" s="173">
        <f>INDEX('Change in Proportion Layers'!$AA$8:$AA$321,MATCH('OPEB Amounts_Report'!A250,'Change in Proportion Layers'!$A$8:$A$321,0))</f>
        <v>48236</v>
      </c>
      <c r="M250" s="171">
        <f t="shared" si="10"/>
        <v>387175</v>
      </c>
      <c r="N250" s="172"/>
      <c r="O250" s="172">
        <f>ROUND(VLOOKUP(A250,'Contribution Allocation_Report'!$A$9:$D$310,4,FALSE)*'OPEB Amounts_Report'!$O$323,0)</f>
        <v>-66404</v>
      </c>
      <c r="P250" s="172">
        <f>INDEX('Change in Proportion Layers'!$X$8:$X$321,MATCH('OPEB Amounts_Report'!A250,'Change in Proportion Layers'!$A$8:$A$321,0))</f>
        <v>-5202</v>
      </c>
      <c r="Q250" s="172">
        <f t="shared" si="11"/>
        <v>-71606</v>
      </c>
    </row>
    <row r="251" spans="1:17" ht="12" customHeight="1">
      <c r="A251" s="254">
        <v>2420</v>
      </c>
      <c r="B251" s="255" t="s">
        <v>237</v>
      </c>
      <c r="C251" s="89">
        <f>ROUND(VLOOKUP(A251,'Contribution Allocation_Report'!$A$9:$D$310,4,FALSE)*'OPEB Amounts_Report'!$C$323,0)</f>
        <v>851872</v>
      </c>
      <c r="D251" s="89">
        <f>ROUND(VLOOKUP(A251,'Contribution Allocation_Report'!$A$9:$D$310,4,FALSE)*'OPEB Amounts_Report'!$D$323,0)</f>
        <v>12455</v>
      </c>
      <c r="E251" s="89">
        <f>ROUND(VLOOKUP(A251,'Contribution Allocation_Report'!$A$9:$D$310,4,FALSE)*'OPEB Amounts_Report'!$E$323,0)</f>
        <v>170553</v>
      </c>
      <c r="F251" s="89">
        <f>INDEX('Change in Proportion Layers'!$Z$8:$Z$321,MATCH('OPEB Amounts_Report'!A251,'Change in Proportion Layers'!$A$8:$A$321,0))</f>
        <v>123657</v>
      </c>
      <c r="G251" s="89">
        <f t="shared" si="9"/>
        <v>306665</v>
      </c>
      <c r="H251" s="89"/>
      <c r="I251" s="89">
        <f>ROUND(VLOOKUP(A251,'Contribution Allocation_Report'!$A$9:$D$310,4,FALSE)*'OPEB Amounts_Report'!$I$323,0)</f>
        <v>135856</v>
      </c>
      <c r="J251" s="89">
        <f>ROUND(VLOOKUP(A251,'Contribution Allocation_Report'!$A$9:$D$310,4,FALSE)*'OPEB Amounts_Report'!$J$323,0)</f>
        <v>24418</v>
      </c>
      <c r="K251" s="89">
        <f>ROUND(VLOOKUP(A251,'Contribution Allocation_Report'!$A$9:$D$310,4,FALSE)*'OPEB Amounts_Report'!$K$323,0)</f>
        <v>307982</v>
      </c>
      <c r="L251" s="89">
        <f>INDEX('Change in Proportion Layers'!$AA$8:$AA$321,MATCH('OPEB Amounts_Report'!A251,'Change in Proportion Layers'!$A$8:$A$321,0))</f>
        <v>141355</v>
      </c>
      <c r="M251" s="89">
        <f t="shared" si="10"/>
        <v>609611</v>
      </c>
      <c r="N251" s="90"/>
      <c r="O251" s="90">
        <f>ROUND(VLOOKUP(A251,'Contribution Allocation_Report'!$A$9:$D$310,4,FALSE)*'OPEB Amounts_Report'!$O$323,0)</f>
        <v>-91739</v>
      </c>
      <c r="P251" s="90">
        <f>INDEX('Change in Proportion Layers'!$X$8:$X$321,MATCH('OPEB Amounts_Report'!A251,'Change in Proportion Layers'!$A$8:$A$321,0))</f>
        <v>19119</v>
      </c>
      <c r="Q251" s="90">
        <f t="shared" si="11"/>
        <v>-72620</v>
      </c>
    </row>
    <row r="252" spans="1:17" ht="12" customHeight="1">
      <c r="A252" s="62">
        <v>2740</v>
      </c>
      <c r="B252" s="66" t="s">
        <v>238</v>
      </c>
      <c r="C252" s="70">
        <f>ROUND(VLOOKUP(A252,'Contribution Allocation_Report'!$A$9:$D$310,4,FALSE)*'OPEB Amounts_Report'!$C$323,0)</f>
        <v>141485</v>
      </c>
      <c r="D252" s="70">
        <f>ROUND(VLOOKUP(A252,'Contribution Allocation_Report'!$A$9:$D$310,4,FALSE)*'OPEB Amounts_Report'!$D$323,0)</f>
        <v>2069</v>
      </c>
      <c r="E252" s="70">
        <f>ROUND(VLOOKUP(A252,'Contribution Allocation_Report'!$A$9:$D$310,4,FALSE)*'OPEB Amounts_Report'!$E$323,0)</f>
        <v>28327</v>
      </c>
      <c r="F252" s="70">
        <f>INDEX('Change in Proportion Layers'!$Z$8:$Z$321,MATCH('OPEB Amounts_Report'!A252,'Change in Proportion Layers'!$A$8:$A$321,0))</f>
        <v>36291</v>
      </c>
      <c r="G252" s="70">
        <f t="shared" si="9"/>
        <v>66687</v>
      </c>
      <c r="H252" s="70"/>
      <c r="I252" s="70">
        <f>ROUND(VLOOKUP(A252,'Contribution Allocation_Report'!$A$9:$D$310,4,FALSE)*'OPEB Amounts_Report'!$I$323,0)</f>
        <v>22564</v>
      </c>
      <c r="J252" s="70">
        <f>ROUND(VLOOKUP(A252,'Contribution Allocation_Report'!$A$9:$D$310,4,FALSE)*'OPEB Amounts_Report'!$J$323,0)</f>
        <v>4056</v>
      </c>
      <c r="K252" s="70">
        <f>ROUND(VLOOKUP(A252,'Contribution Allocation_Report'!$A$9:$D$310,4,FALSE)*'OPEB Amounts_Report'!$K$323,0)</f>
        <v>51152</v>
      </c>
      <c r="L252" s="70">
        <f>INDEX('Change in Proportion Layers'!$AA$8:$AA$321,MATCH('OPEB Amounts_Report'!A252,'Change in Proportion Layers'!$A$8:$A$321,0))</f>
        <v>30323</v>
      </c>
      <c r="M252" s="70">
        <f t="shared" si="10"/>
        <v>108095</v>
      </c>
      <c r="N252" s="71"/>
      <c r="O252" s="71">
        <f>ROUND(VLOOKUP(A252,'Contribution Allocation_Report'!$A$9:$D$310,4,FALSE)*'OPEB Amounts_Report'!$O$323,0)</f>
        <v>-15237</v>
      </c>
      <c r="P252" s="71">
        <f>INDEX('Change in Proportion Layers'!$X$8:$X$321,MATCH('OPEB Amounts_Report'!A252,'Change in Proportion Layers'!$A$8:$A$321,0))</f>
        <v>-777</v>
      </c>
      <c r="Q252" s="71">
        <f t="shared" si="11"/>
        <v>-16014</v>
      </c>
    </row>
    <row r="253" spans="1:17" ht="12" customHeight="1">
      <c r="A253" s="254">
        <v>2346</v>
      </c>
      <c r="B253" s="255" t="s">
        <v>239</v>
      </c>
      <c r="C253" s="89">
        <f>ROUND(VLOOKUP(A253,'Contribution Allocation_Report'!$A$9:$D$310,4,FALSE)*'OPEB Amounts_Report'!$C$323,0)</f>
        <v>607070</v>
      </c>
      <c r="D253" s="89">
        <f>ROUND(VLOOKUP(A253,'Contribution Allocation_Report'!$A$9:$D$310,4,FALSE)*'OPEB Amounts_Report'!$D$323,0)</f>
        <v>8876</v>
      </c>
      <c r="E253" s="89">
        <f>ROUND(VLOOKUP(A253,'Contribution Allocation_Report'!$A$9:$D$310,4,FALSE)*'OPEB Amounts_Report'!$E$323,0)</f>
        <v>121541</v>
      </c>
      <c r="F253" s="89">
        <f>INDEX('Change in Proportion Layers'!$Z$8:$Z$321,MATCH('OPEB Amounts_Report'!A253,'Change in Proportion Layers'!$A$8:$A$321,0))</f>
        <v>173590</v>
      </c>
      <c r="G253" s="89">
        <f t="shared" si="9"/>
        <v>304007</v>
      </c>
      <c r="H253" s="89"/>
      <c r="I253" s="89">
        <f>ROUND(VLOOKUP(A253,'Contribution Allocation_Report'!$A$9:$D$310,4,FALSE)*'OPEB Amounts_Report'!$I$323,0)</f>
        <v>96815</v>
      </c>
      <c r="J253" s="89">
        <f>ROUND(VLOOKUP(A253,'Contribution Allocation_Report'!$A$9:$D$310,4,FALSE)*'OPEB Amounts_Report'!$J$323,0)</f>
        <v>17401</v>
      </c>
      <c r="K253" s="89">
        <f>ROUND(VLOOKUP(A253,'Contribution Allocation_Report'!$A$9:$D$310,4,FALSE)*'OPEB Amounts_Report'!$K$323,0)</f>
        <v>219477</v>
      </c>
      <c r="L253" s="89">
        <f>INDEX('Change in Proportion Layers'!$AA$8:$AA$321,MATCH('OPEB Amounts_Report'!A253,'Change in Proportion Layers'!$A$8:$A$321,0))</f>
        <v>14519</v>
      </c>
      <c r="M253" s="89">
        <f t="shared" si="10"/>
        <v>348212</v>
      </c>
      <c r="N253" s="90"/>
      <c r="O253" s="90">
        <f>ROUND(VLOOKUP(A253,'Contribution Allocation_Report'!$A$9:$D$310,4,FALSE)*'OPEB Amounts_Report'!$O$323,0)</f>
        <v>-65376</v>
      </c>
      <c r="P253" s="90">
        <f>INDEX('Change in Proportion Layers'!$X$8:$X$321,MATCH('OPEB Amounts_Report'!A253,'Change in Proportion Layers'!$A$8:$A$321,0))</f>
        <v>83445</v>
      </c>
      <c r="Q253" s="90">
        <f t="shared" si="11"/>
        <v>18069</v>
      </c>
    </row>
    <row r="254" spans="1:17" ht="12" customHeight="1">
      <c r="A254" s="62">
        <v>21150</v>
      </c>
      <c r="B254" s="66" t="s">
        <v>240</v>
      </c>
      <c r="C254" s="70">
        <f>ROUND(VLOOKUP(A254,'Contribution Allocation_Report'!$A$9:$D$310,4,FALSE)*'OPEB Amounts_Report'!$C$323,0)</f>
        <v>1512245</v>
      </c>
      <c r="D254" s="70">
        <f>ROUND(VLOOKUP(A254,'Contribution Allocation_Report'!$A$9:$D$310,4,FALSE)*'OPEB Amounts_Report'!$D$323,0)</f>
        <v>22111</v>
      </c>
      <c r="E254" s="70">
        <f>ROUND(VLOOKUP(A254,'Contribution Allocation_Report'!$A$9:$D$310,4,FALSE)*'OPEB Amounts_Report'!$E$323,0)</f>
        <v>302765</v>
      </c>
      <c r="F254" s="70">
        <f>INDEX('Change in Proportion Layers'!$Z$8:$Z$321,MATCH('OPEB Amounts_Report'!A254,'Change in Proportion Layers'!$A$8:$A$321,0))</f>
        <v>379698</v>
      </c>
      <c r="G254" s="70">
        <f t="shared" si="9"/>
        <v>704574</v>
      </c>
      <c r="H254" s="70"/>
      <c r="I254" s="70">
        <f>ROUND(VLOOKUP(A254,'Contribution Allocation_Report'!$A$9:$D$310,4,FALSE)*'OPEB Amounts_Report'!$I$323,0)</f>
        <v>241172</v>
      </c>
      <c r="J254" s="70">
        <f>ROUND(VLOOKUP(A254,'Contribution Allocation_Report'!$A$9:$D$310,4,FALSE)*'OPEB Amounts_Report'!$J$323,0)</f>
        <v>43347</v>
      </c>
      <c r="K254" s="70">
        <f>ROUND(VLOOKUP(A254,'Contribution Allocation_Report'!$A$9:$D$310,4,FALSE)*'OPEB Amounts_Report'!$K$323,0)</f>
        <v>546730</v>
      </c>
      <c r="L254" s="70">
        <f>INDEX('Change in Proportion Layers'!$AA$8:$AA$321,MATCH('OPEB Amounts_Report'!A254,'Change in Proportion Layers'!$A$8:$A$321,0))</f>
        <v>64251</v>
      </c>
      <c r="M254" s="70">
        <f t="shared" si="10"/>
        <v>895500</v>
      </c>
      <c r="N254" s="71"/>
      <c r="O254" s="71">
        <f>ROUND(VLOOKUP(A254,'Contribution Allocation_Report'!$A$9:$D$310,4,FALSE)*'OPEB Amounts_Report'!$O$323,0)</f>
        <v>-162856</v>
      </c>
      <c r="P254" s="71">
        <f>INDEX('Change in Proportion Layers'!$X$8:$X$321,MATCH('OPEB Amounts_Report'!A254,'Change in Proportion Layers'!$A$8:$A$321,0))</f>
        <v>127853</v>
      </c>
      <c r="Q254" s="71">
        <f t="shared" si="11"/>
        <v>-35003</v>
      </c>
    </row>
    <row r="255" spans="1:17" ht="12" customHeight="1">
      <c r="A255" s="254">
        <v>32098</v>
      </c>
      <c r="B255" s="255" t="s">
        <v>241</v>
      </c>
      <c r="C255" s="89">
        <f>ROUND(VLOOKUP(A255,'Contribution Allocation_Report'!$A$9:$D$310,4,FALSE)*'OPEB Amounts_Report'!$C$323,0)</f>
        <v>747238</v>
      </c>
      <c r="D255" s="89">
        <f>ROUND(VLOOKUP(A255,'Contribution Allocation_Report'!$A$9:$D$310,4,FALSE)*'OPEB Amounts_Report'!$D$323,0)</f>
        <v>10926</v>
      </c>
      <c r="E255" s="89">
        <f>ROUND(VLOOKUP(A255,'Contribution Allocation_Report'!$A$9:$D$310,4,FALSE)*'OPEB Amounts_Report'!$E$323,0)</f>
        <v>149604</v>
      </c>
      <c r="F255" s="89">
        <f>INDEX('Change in Proportion Layers'!$Z$8:$Z$321,MATCH('OPEB Amounts_Report'!A255,'Change in Proportion Layers'!$A$8:$A$321,0))</f>
        <v>61370</v>
      </c>
      <c r="G255" s="89">
        <f t="shared" si="9"/>
        <v>221900</v>
      </c>
      <c r="H255" s="89"/>
      <c r="I255" s="89">
        <f>ROUND(VLOOKUP(A255,'Contribution Allocation_Report'!$A$9:$D$310,4,FALSE)*'OPEB Amounts_Report'!$I$323,0)</f>
        <v>119169</v>
      </c>
      <c r="J255" s="89">
        <f>ROUND(VLOOKUP(A255,'Contribution Allocation_Report'!$A$9:$D$310,4,FALSE)*'OPEB Amounts_Report'!$J$323,0)</f>
        <v>21419</v>
      </c>
      <c r="K255" s="89">
        <f>ROUND(VLOOKUP(A255,'Contribution Allocation_Report'!$A$9:$D$310,4,FALSE)*'OPEB Amounts_Report'!$K$323,0)</f>
        <v>270153</v>
      </c>
      <c r="L255" s="89">
        <f>INDEX('Change in Proportion Layers'!$AA$8:$AA$321,MATCH('OPEB Amounts_Report'!A255,'Change in Proportion Layers'!$A$8:$A$321,0))</f>
        <v>134635</v>
      </c>
      <c r="M255" s="89">
        <f t="shared" si="10"/>
        <v>545376</v>
      </c>
      <c r="N255" s="90"/>
      <c r="O255" s="90">
        <f>ROUND(VLOOKUP(A255,'Contribution Allocation_Report'!$A$9:$D$310,4,FALSE)*'OPEB Amounts_Report'!$O$323,0)</f>
        <v>-80471</v>
      </c>
      <c r="P255" s="90">
        <f>INDEX('Change in Proportion Layers'!$X$8:$X$321,MATCH('OPEB Amounts_Report'!A255,'Change in Proportion Layers'!$A$8:$A$321,0))</f>
        <v>-2487</v>
      </c>
      <c r="Q255" s="90">
        <f t="shared" si="11"/>
        <v>-82958</v>
      </c>
    </row>
    <row r="256" spans="1:17" ht="12" customHeight="1">
      <c r="A256" s="62">
        <v>4520</v>
      </c>
      <c r="B256" s="66" t="s">
        <v>242</v>
      </c>
      <c r="C256" s="70">
        <f>ROUND(VLOOKUP(A256,'Contribution Allocation_Report'!$A$9:$D$310,4,FALSE)*'OPEB Amounts_Report'!$C$323,0)</f>
        <v>100685</v>
      </c>
      <c r="D256" s="70">
        <f>ROUND(VLOOKUP(A256,'Contribution Allocation_Report'!$A$9:$D$310,4,FALSE)*'OPEB Amounts_Report'!$D$323,0)</f>
        <v>1472</v>
      </c>
      <c r="E256" s="70">
        <f>ROUND(VLOOKUP(A256,'Contribution Allocation_Report'!$A$9:$D$310,4,FALSE)*'OPEB Amounts_Report'!$E$323,0)</f>
        <v>20158</v>
      </c>
      <c r="F256" s="296">
        <f>INDEX('Change in Proportion Layers'!$Z$8:$Z$321,MATCH('OPEB Amounts_Report'!A256,'Change in Proportion Layers'!$A$8:$A$321,0))</f>
        <v>11880</v>
      </c>
      <c r="G256" s="70">
        <f t="shared" si="9"/>
        <v>33510</v>
      </c>
      <c r="H256" s="70"/>
      <c r="I256" s="70">
        <f>ROUND(VLOOKUP(A256,'Contribution Allocation_Report'!$A$9:$D$310,4,FALSE)*'OPEB Amounts_Report'!$I$323,0)</f>
        <v>16057</v>
      </c>
      <c r="J256" s="70">
        <f>ROUND(VLOOKUP(A256,'Contribution Allocation_Report'!$A$9:$D$310,4,FALSE)*'OPEB Amounts_Report'!$J$323,0)</f>
        <v>2886</v>
      </c>
      <c r="K256" s="70">
        <f>ROUND(VLOOKUP(A256,'Contribution Allocation_Report'!$A$9:$D$310,4,FALSE)*'OPEB Amounts_Report'!$K$323,0)</f>
        <v>36401</v>
      </c>
      <c r="L256" s="70">
        <f>INDEX('Change in Proportion Layers'!$AA$8:$AA$321,MATCH('OPEB Amounts_Report'!A256,'Change in Proportion Layers'!$A$8:$A$321,0))</f>
        <v>1709</v>
      </c>
      <c r="M256" s="70">
        <f t="shared" si="10"/>
        <v>57053</v>
      </c>
      <c r="N256" s="71"/>
      <c r="O256" s="71">
        <f>ROUND(VLOOKUP(A256,'Contribution Allocation_Report'!$A$9:$D$310,4,FALSE)*'OPEB Amounts_Report'!$O$323,0)</f>
        <v>-10843</v>
      </c>
      <c r="P256" s="71">
        <f>INDEX('Change in Proportion Layers'!$X$8:$X$321,MATCH('OPEB Amounts_Report'!A256,'Change in Proportion Layers'!$A$8:$A$321,0))</f>
        <v>2630</v>
      </c>
      <c r="Q256" s="71">
        <f t="shared" si="11"/>
        <v>-8213</v>
      </c>
    </row>
    <row r="257" spans="1:17" ht="12" customHeight="1">
      <c r="A257" s="254">
        <v>9030</v>
      </c>
      <c r="B257" s="255" t="s">
        <v>243</v>
      </c>
      <c r="C257" s="89">
        <f>ROUND(VLOOKUP(A257,'Contribution Allocation_Report'!$A$9:$D$310,4,FALSE)*'OPEB Amounts_Report'!$C$323,0)</f>
        <v>965389</v>
      </c>
      <c r="D257" s="89">
        <f>ROUND(VLOOKUP(A257,'Contribution Allocation_Report'!$A$9:$D$310,4,FALSE)*'OPEB Amounts_Report'!$D$323,0)</f>
        <v>14115</v>
      </c>
      <c r="E257" s="89">
        <f>ROUND(VLOOKUP(A257,'Contribution Allocation_Report'!$A$9:$D$310,4,FALSE)*'OPEB Amounts_Report'!$E$323,0)</f>
        <v>193280</v>
      </c>
      <c r="F257" s="89">
        <f>INDEX('Change in Proportion Layers'!$Z$8:$Z$321,MATCH('OPEB Amounts_Report'!A257,'Change in Proportion Layers'!$A$8:$A$321,0))</f>
        <v>16022</v>
      </c>
      <c r="G257" s="89">
        <f t="shared" si="9"/>
        <v>223417</v>
      </c>
      <c r="H257" s="89"/>
      <c r="I257" s="89">
        <f>ROUND(VLOOKUP(A257,'Contribution Allocation_Report'!$A$9:$D$310,4,FALSE)*'OPEB Amounts_Report'!$I$323,0)</f>
        <v>153959</v>
      </c>
      <c r="J257" s="89">
        <f>ROUND(VLOOKUP(A257,'Contribution Allocation_Report'!$A$9:$D$310,4,FALSE)*'OPEB Amounts_Report'!$J$323,0)</f>
        <v>27672</v>
      </c>
      <c r="K257" s="89">
        <f>ROUND(VLOOKUP(A257,'Contribution Allocation_Report'!$A$9:$D$310,4,FALSE)*'OPEB Amounts_Report'!$K$323,0)</f>
        <v>349022</v>
      </c>
      <c r="L257" s="297">
        <f>INDEX('Change in Proportion Layers'!$AA$8:$AA$321,MATCH('OPEB Amounts_Report'!A257,'Change in Proportion Layers'!$A$8:$A$321,0))</f>
        <v>56093</v>
      </c>
      <c r="M257" s="89">
        <f t="shared" si="10"/>
        <v>586746</v>
      </c>
      <c r="N257" s="90"/>
      <c r="O257" s="90">
        <f>ROUND(VLOOKUP(A257,'Contribution Allocation_Report'!$A$9:$D$310,4,FALSE)*'OPEB Amounts_Report'!$O$323,0)</f>
        <v>-103964</v>
      </c>
      <c r="P257" s="90">
        <f>INDEX('Change in Proportion Layers'!$X$8:$X$321,MATCH('OPEB Amounts_Report'!A257,'Change in Proportion Layers'!$A$8:$A$321,0))</f>
        <v>-13538</v>
      </c>
      <c r="Q257" s="90">
        <f t="shared" si="11"/>
        <v>-117502</v>
      </c>
    </row>
    <row r="258" spans="1:17" ht="12" customHeight="1">
      <c r="A258" s="62">
        <v>20265</v>
      </c>
      <c r="B258" s="66" t="s">
        <v>244</v>
      </c>
      <c r="C258" s="70">
        <f>ROUND(VLOOKUP(A258,'Contribution Allocation_Report'!$A$9:$D$310,4,FALSE)*'OPEB Amounts_Report'!$C$323,0)</f>
        <v>908137</v>
      </c>
      <c r="D258" s="70">
        <f>ROUND(VLOOKUP(A258,'Contribution Allocation_Report'!$A$9:$D$310,4,FALSE)*'OPEB Amounts_Report'!$D$323,0)</f>
        <v>13278</v>
      </c>
      <c r="E258" s="70">
        <f>ROUND(VLOOKUP(A258,'Contribution Allocation_Report'!$A$9:$D$310,4,FALSE)*'OPEB Amounts_Report'!$E$323,0)</f>
        <v>181817</v>
      </c>
      <c r="F258" s="296">
        <f>INDEX('Change in Proportion Layers'!$Z$8:$Z$321,MATCH('OPEB Amounts_Report'!A258,'Change in Proportion Layers'!$A$8:$A$321,0))</f>
        <v>80744</v>
      </c>
      <c r="G258" s="70">
        <f t="shared" si="9"/>
        <v>275839</v>
      </c>
      <c r="H258" s="70"/>
      <c r="I258" s="70">
        <f>ROUND(VLOOKUP(A258,'Contribution Allocation_Report'!$A$9:$D$310,4,FALSE)*'OPEB Amounts_Report'!$I$323,0)</f>
        <v>144829</v>
      </c>
      <c r="J258" s="70">
        <f>ROUND(VLOOKUP(A258,'Contribution Allocation_Report'!$A$9:$D$310,4,FALSE)*'OPEB Amounts_Report'!$J$323,0)</f>
        <v>26031</v>
      </c>
      <c r="K258" s="70">
        <f>ROUND(VLOOKUP(A258,'Contribution Allocation_Report'!$A$9:$D$310,4,FALSE)*'OPEB Amounts_Report'!$K$323,0)</f>
        <v>328324</v>
      </c>
      <c r="L258" s="70">
        <f>INDEX('Change in Proportion Layers'!$AA$8:$AA$321,MATCH('OPEB Amounts_Report'!A258,'Change in Proportion Layers'!$A$8:$A$321,0))</f>
        <v>137082</v>
      </c>
      <c r="M258" s="70">
        <f t="shared" si="10"/>
        <v>636266</v>
      </c>
      <c r="N258" s="71"/>
      <c r="O258" s="71">
        <f>ROUND(VLOOKUP(A258,'Contribution Allocation_Report'!$A$9:$D$310,4,FALSE)*'OPEB Amounts_Report'!$O$323,0)</f>
        <v>-97799</v>
      </c>
      <c r="P258" s="71">
        <f>INDEX('Change in Proportion Layers'!$X$8:$X$321,MATCH('OPEB Amounts_Report'!A258,'Change in Proportion Layers'!$A$8:$A$321,0))</f>
        <v>-4512</v>
      </c>
      <c r="Q258" s="71">
        <f t="shared" si="11"/>
        <v>-102311</v>
      </c>
    </row>
    <row r="259" spans="1:17" ht="12" customHeight="1">
      <c r="A259" s="254">
        <v>20307</v>
      </c>
      <c r="B259" s="255" t="s">
        <v>245</v>
      </c>
      <c r="C259" s="89">
        <f>ROUND(VLOOKUP(A259,'Contribution Allocation_Report'!$A$9:$D$310,4,FALSE)*'OPEB Amounts_Report'!$C$323,0)</f>
        <v>888394</v>
      </c>
      <c r="D259" s="89">
        <f>ROUND(VLOOKUP(A259,'Contribution Allocation_Report'!$A$9:$D$310,4,FALSE)*'OPEB Amounts_Report'!$D$323,0)</f>
        <v>12989</v>
      </c>
      <c r="E259" s="89">
        <f>ROUND(VLOOKUP(A259,'Contribution Allocation_Report'!$A$9:$D$310,4,FALSE)*'OPEB Amounts_Report'!$E$323,0)</f>
        <v>177865</v>
      </c>
      <c r="F259" s="89">
        <f>INDEX('Change in Proportion Layers'!$Z$8:$Z$321,MATCH('OPEB Amounts_Report'!A259,'Change in Proportion Layers'!$A$8:$A$321,0))</f>
        <v>289878</v>
      </c>
      <c r="G259" s="89">
        <f t="shared" si="9"/>
        <v>480732</v>
      </c>
      <c r="H259" s="89"/>
      <c r="I259" s="89">
        <f>ROUND(VLOOKUP(A259,'Contribution Allocation_Report'!$A$9:$D$310,4,FALSE)*'OPEB Amounts_Report'!$I$323,0)</f>
        <v>141680</v>
      </c>
      <c r="J259" s="89">
        <f>ROUND(VLOOKUP(A259,'Contribution Allocation_Report'!$A$9:$D$310,4,FALSE)*'OPEB Amounts_Report'!$J$323,0)</f>
        <v>25465</v>
      </c>
      <c r="K259" s="89">
        <f>ROUND(VLOOKUP(A259,'Contribution Allocation_Report'!$A$9:$D$310,4,FALSE)*'OPEB Amounts_Report'!$K$323,0)</f>
        <v>321186</v>
      </c>
      <c r="L259" s="89">
        <f>INDEX('Change in Proportion Layers'!$AA$8:$AA$321,MATCH('OPEB Amounts_Report'!A259,'Change in Proportion Layers'!$A$8:$A$321,0))</f>
        <v>104245</v>
      </c>
      <c r="M259" s="89">
        <f t="shared" si="10"/>
        <v>592576</v>
      </c>
      <c r="N259" s="90"/>
      <c r="O259" s="90">
        <f>ROUND(VLOOKUP(A259,'Contribution Allocation_Report'!$A$9:$D$310,4,FALSE)*'OPEB Amounts_Report'!$O$323,0)</f>
        <v>-95673</v>
      </c>
      <c r="P259" s="90">
        <f>INDEX('Change in Proportion Layers'!$X$8:$X$321,MATCH('OPEB Amounts_Report'!A259,'Change in Proportion Layers'!$A$8:$A$321,0))</f>
        <v>66316</v>
      </c>
      <c r="Q259" s="90">
        <f t="shared" si="11"/>
        <v>-29357</v>
      </c>
    </row>
    <row r="260" spans="1:17" ht="12" customHeight="1">
      <c r="A260" s="62">
        <v>3320</v>
      </c>
      <c r="B260" s="66" t="s">
        <v>246</v>
      </c>
      <c r="C260" s="70">
        <f>ROUND(VLOOKUP(A260,'Contribution Allocation_Report'!$A$9:$D$310,4,FALSE)*'OPEB Amounts_Report'!$C$323,0)</f>
        <v>6592545</v>
      </c>
      <c r="D260" s="70">
        <f>ROUND(VLOOKUP(A260,'Contribution Allocation_Report'!$A$9:$D$310,4,FALSE)*'OPEB Amounts_Report'!$D$323,0)</f>
        <v>96392</v>
      </c>
      <c r="E260" s="70">
        <f>ROUND(VLOOKUP(A260,'Contribution Allocation_Report'!$A$9:$D$310,4,FALSE)*'OPEB Amounts_Report'!$E$323,0)</f>
        <v>1319889</v>
      </c>
      <c r="F260" s="70">
        <f>INDEX('Change in Proportion Layers'!$Z$8:$Z$321,MATCH('OPEB Amounts_Report'!A260,'Change in Proportion Layers'!$A$8:$A$321,0))</f>
        <v>473206</v>
      </c>
      <c r="G260" s="70">
        <f t="shared" si="9"/>
        <v>1889487</v>
      </c>
      <c r="H260" s="70"/>
      <c r="I260" s="70">
        <f>ROUND(VLOOKUP(A260,'Contribution Allocation_Report'!$A$9:$D$310,4,FALSE)*'OPEB Amounts_Report'!$I$323,0)</f>
        <v>1051374</v>
      </c>
      <c r="J260" s="70">
        <f>ROUND(VLOOKUP(A260,'Contribution Allocation_Report'!$A$9:$D$310,4,FALSE)*'OPEB Amounts_Report'!$J$323,0)</f>
        <v>188970</v>
      </c>
      <c r="K260" s="70">
        <f>ROUND(VLOOKUP(A260,'Contribution Allocation_Report'!$A$9:$D$310,4,FALSE)*'OPEB Amounts_Report'!$K$323,0)</f>
        <v>2383439</v>
      </c>
      <c r="L260" s="70">
        <f>INDEX('Change in Proportion Layers'!$AA$8:$AA$321,MATCH('OPEB Amounts_Report'!A260,'Change in Proportion Layers'!$A$8:$A$321,0))</f>
        <v>1008752</v>
      </c>
      <c r="M260" s="70">
        <f t="shared" si="10"/>
        <v>4632535</v>
      </c>
      <c r="N260" s="71"/>
      <c r="O260" s="71">
        <f>ROUND(VLOOKUP(A260,'Contribution Allocation_Report'!$A$9:$D$310,4,FALSE)*'OPEB Amounts_Report'!$O$323,0)</f>
        <v>-709962</v>
      </c>
      <c r="P260" s="71">
        <f>INDEX('Change in Proportion Layers'!$X$8:$X$321,MATCH('OPEB Amounts_Report'!A260,'Change in Proportion Layers'!$A$8:$A$321,0))</f>
        <v>-161945</v>
      </c>
      <c r="Q260" s="71">
        <f t="shared" si="11"/>
        <v>-871907</v>
      </c>
    </row>
    <row r="261" spans="1:17" ht="12" customHeight="1">
      <c r="A261" s="254">
        <v>20415</v>
      </c>
      <c r="B261" s="255" t="s">
        <v>247</v>
      </c>
      <c r="C261" s="89">
        <f>ROUND(VLOOKUP(A261,'Contribution Allocation_Report'!$A$9:$D$310,4,FALSE)*'OPEB Amounts_Report'!$C$323,0)</f>
        <v>614966</v>
      </c>
      <c r="D261" s="89">
        <f>ROUND(VLOOKUP(A261,'Contribution Allocation_Report'!$A$9:$D$310,4,FALSE)*'OPEB Amounts_Report'!$D$323,0)</f>
        <v>8992</v>
      </c>
      <c r="E261" s="89">
        <f>ROUND(VLOOKUP(A261,'Contribution Allocation_Report'!$A$9:$D$310,4,FALSE)*'OPEB Amounts_Report'!$E$323,0)</f>
        <v>123122</v>
      </c>
      <c r="F261" s="89">
        <f>INDEX('Change in Proportion Layers'!$Z$8:$Z$321,MATCH('OPEB Amounts_Report'!A261,'Change in Proportion Layers'!$A$8:$A$321,0))</f>
        <v>120554</v>
      </c>
      <c r="G261" s="89">
        <f t="shared" si="9"/>
        <v>252668</v>
      </c>
      <c r="H261" s="89"/>
      <c r="I261" s="89">
        <f>ROUND(VLOOKUP(A261,'Contribution Allocation_Report'!$A$9:$D$310,4,FALSE)*'OPEB Amounts_Report'!$I$323,0)</f>
        <v>98074</v>
      </c>
      <c r="J261" s="89">
        <f>ROUND(VLOOKUP(A261,'Contribution Allocation_Report'!$A$9:$D$310,4,FALSE)*'OPEB Amounts_Report'!$J$323,0)</f>
        <v>17627</v>
      </c>
      <c r="K261" s="89">
        <f>ROUND(VLOOKUP(A261,'Contribution Allocation_Report'!$A$9:$D$310,4,FALSE)*'OPEB Amounts_Report'!$K$323,0)</f>
        <v>222332</v>
      </c>
      <c r="L261" s="89">
        <f>INDEX('Change in Proportion Layers'!$AA$8:$AA$321,MATCH('OPEB Amounts_Report'!A261,'Change in Proportion Layers'!$A$8:$A$321,0))</f>
        <v>97921</v>
      </c>
      <c r="M261" s="89">
        <f t="shared" si="10"/>
        <v>435954</v>
      </c>
      <c r="N261" s="90"/>
      <c r="O261" s="90">
        <f>ROUND(VLOOKUP(A261,'Contribution Allocation_Report'!$A$9:$D$310,4,FALSE)*'OPEB Amounts_Report'!$O$323,0)</f>
        <v>-66227</v>
      </c>
      <c r="P261" s="90">
        <f>INDEX('Change in Proportion Layers'!$X$8:$X$321,MATCH('OPEB Amounts_Report'!A261,'Change in Proportion Layers'!$A$8:$A$321,0))</f>
        <v>10469</v>
      </c>
      <c r="Q261" s="90">
        <f t="shared" si="11"/>
        <v>-55758</v>
      </c>
    </row>
    <row r="262" spans="1:17" ht="12" customHeight="1">
      <c r="A262" s="62">
        <v>20435</v>
      </c>
      <c r="B262" s="66" t="s">
        <v>441</v>
      </c>
      <c r="C262" s="70">
        <f>ROUND(VLOOKUP(A262,'Contribution Allocation_Report'!$A$9:$D$310,4,FALSE)*'OPEB Amounts_Report'!$C$323,0)</f>
        <v>751516</v>
      </c>
      <c r="D262" s="70">
        <f>ROUND(VLOOKUP(A262,'Contribution Allocation_Report'!$A$9:$D$310,4,FALSE)*'OPEB Amounts_Report'!$D$323,0)</f>
        <v>10988</v>
      </c>
      <c r="E262" s="70">
        <f>ROUND(VLOOKUP(A262,'Contribution Allocation_Report'!$A$9:$D$310,4,FALSE)*'OPEB Amounts_Report'!$E$323,0)</f>
        <v>150460</v>
      </c>
      <c r="F262" s="70">
        <f>INDEX('Change in Proportion Layers'!$Z$8:$Z$321,MATCH('OPEB Amounts_Report'!A262,'Change in Proportion Layers'!$A$8:$A$321,0))</f>
        <v>142660</v>
      </c>
      <c r="G262" s="70">
        <f t="shared" si="9"/>
        <v>304108</v>
      </c>
      <c r="H262" s="70"/>
      <c r="I262" s="70">
        <f>ROUND(VLOOKUP(A262,'Contribution Allocation_Report'!$A$9:$D$310,4,FALSE)*'OPEB Amounts_Report'!$I$323,0)</f>
        <v>119851</v>
      </c>
      <c r="J262" s="70">
        <f>ROUND(VLOOKUP(A262,'Contribution Allocation_Report'!$A$9:$D$310,4,FALSE)*'OPEB Amounts_Report'!$J$323,0)</f>
        <v>21542</v>
      </c>
      <c r="K262" s="70">
        <f>ROUND(VLOOKUP(A262,'Contribution Allocation_Report'!$A$9:$D$310,4,FALSE)*'OPEB Amounts_Report'!$K$323,0)</f>
        <v>271700</v>
      </c>
      <c r="L262" s="296">
        <f>INDEX('Change in Proportion Layers'!$AA$8:$AA$321,MATCH('OPEB Amounts_Report'!A262,'Change in Proportion Layers'!$A$8:$A$321,0))</f>
        <v>111930</v>
      </c>
      <c r="M262" s="70">
        <f t="shared" si="10"/>
        <v>525023</v>
      </c>
      <c r="N262" s="71"/>
      <c r="O262" s="71">
        <f>ROUND(VLOOKUP(A262,'Contribution Allocation_Report'!$A$9:$D$310,4,FALSE)*'OPEB Amounts_Report'!$O$323,0)</f>
        <v>-80932</v>
      </c>
      <c r="P262" s="71">
        <f>INDEX('Change in Proportion Layers'!$X$8:$X$321,MATCH('OPEB Amounts_Report'!A262,'Change in Proportion Layers'!$A$8:$A$321,0))</f>
        <v>13726</v>
      </c>
      <c r="Q262" s="71">
        <f t="shared" si="11"/>
        <v>-67206</v>
      </c>
    </row>
    <row r="263" spans="1:17" ht="12" customHeight="1">
      <c r="A263" s="254">
        <v>20062</v>
      </c>
      <c r="B263" s="255" t="s">
        <v>248</v>
      </c>
      <c r="C263" s="89">
        <f>ROUND(VLOOKUP(A263,'Contribution Allocation_Report'!$A$9:$D$310,4,FALSE)*'OPEB Amounts_Report'!$C$323,0)</f>
        <v>10321169</v>
      </c>
      <c r="D263" s="89">
        <f>ROUND(VLOOKUP(A263,'Contribution Allocation_Report'!$A$9:$D$310,4,FALSE)*'OPEB Amounts_Report'!$D$323,0)</f>
        <v>150909</v>
      </c>
      <c r="E263" s="89">
        <f>ROUND(VLOOKUP(A263,'Contribution Allocation_Report'!$A$9:$D$310,4,FALSE)*'OPEB Amounts_Report'!$E$323,0)</f>
        <v>2066394</v>
      </c>
      <c r="F263" s="89">
        <f>INDEX('Change in Proportion Layers'!$Z$8:$Z$321,MATCH('OPEB Amounts_Report'!A263,'Change in Proportion Layers'!$A$8:$A$321,0))</f>
        <v>608335</v>
      </c>
      <c r="G263" s="89">
        <f t="shared" si="9"/>
        <v>2825638</v>
      </c>
      <c r="H263" s="89"/>
      <c r="I263" s="89">
        <f>ROUND(VLOOKUP(A263,'Contribution Allocation_Report'!$A$9:$D$310,4,FALSE)*'OPEB Amounts_Report'!$I$323,0)</f>
        <v>1646012</v>
      </c>
      <c r="J263" s="89">
        <f>ROUND(VLOOKUP(A263,'Contribution Allocation_Report'!$A$9:$D$310,4,FALSE)*'OPEB Amounts_Report'!$J$323,0)</f>
        <v>295848</v>
      </c>
      <c r="K263" s="89">
        <f>ROUND(VLOOKUP(A263,'Contribution Allocation_Report'!$A$9:$D$310,4,FALSE)*'OPEB Amounts_Report'!$K$323,0)</f>
        <v>3731469</v>
      </c>
      <c r="L263" s="89">
        <f>INDEX('Change in Proportion Layers'!$AA$8:$AA$321,MATCH('OPEB Amounts_Report'!A263,'Change in Proportion Layers'!$A$8:$A$321,0))</f>
        <v>179157</v>
      </c>
      <c r="M263" s="89">
        <f t="shared" si="10"/>
        <v>5852486</v>
      </c>
      <c r="N263" s="90"/>
      <c r="O263" s="90">
        <f>ROUND(VLOOKUP(A263,'Contribution Allocation_Report'!$A$9:$D$310,4,FALSE)*'OPEB Amounts_Report'!$O$323,0)</f>
        <v>-1111504</v>
      </c>
      <c r="P263" s="90">
        <f>INDEX('Change in Proportion Layers'!$X$8:$X$321,MATCH('OPEB Amounts_Report'!A263,'Change in Proportion Layers'!$A$8:$A$321,0))</f>
        <v>33833</v>
      </c>
      <c r="Q263" s="90">
        <f t="shared" si="11"/>
        <v>-1077671</v>
      </c>
    </row>
    <row r="264" spans="1:17" ht="12" customHeight="1">
      <c r="A264" s="62">
        <v>6020</v>
      </c>
      <c r="B264" s="66" t="s">
        <v>249</v>
      </c>
      <c r="C264" s="70">
        <f>ROUND(VLOOKUP(A264,'Contribution Allocation_Report'!$A$9:$D$310,4,FALSE)*'OPEB Amounts_Report'!$C$323,0)</f>
        <v>1953810</v>
      </c>
      <c r="D264" s="70">
        <f>ROUND(VLOOKUP(A264,'Contribution Allocation_Report'!$A$9:$D$310,4,FALSE)*'OPEB Amounts_Report'!$D$323,0)</f>
        <v>28567</v>
      </c>
      <c r="E264" s="70">
        <f>ROUND(VLOOKUP(A264,'Contribution Allocation_Report'!$A$9:$D$310,4,FALSE)*'OPEB Amounts_Report'!$E$323,0)</f>
        <v>391171</v>
      </c>
      <c r="F264" s="70">
        <f>INDEX('Change in Proportion Layers'!$Z$8:$Z$321,MATCH('OPEB Amounts_Report'!A264,'Change in Proportion Layers'!$A$8:$A$321,0))</f>
        <v>123502</v>
      </c>
      <c r="G264" s="70">
        <f t="shared" si="9"/>
        <v>543240</v>
      </c>
      <c r="H264" s="70"/>
      <c r="I264" s="70">
        <f>ROUND(VLOOKUP(A264,'Contribution Allocation_Report'!$A$9:$D$310,4,FALSE)*'OPEB Amounts_Report'!$I$323,0)</f>
        <v>311592</v>
      </c>
      <c r="J264" s="70">
        <f>ROUND(VLOOKUP(A264,'Contribution Allocation_Report'!$A$9:$D$310,4,FALSE)*'OPEB Amounts_Report'!$J$323,0)</f>
        <v>56004</v>
      </c>
      <c r="K264" s="70">
        <f>ROUND(VLOOKUP(A264,'Contribution Allocation_Report'!$A$9:$D$310,4,FALSE)*'OPEB Amounts_Report'!$K$323,0)</f>
        <v>706371</v>
      </c>
      <c r="L264" s="70">
        <f>INDEX('Change in Proportion Layers'!$AA$8:$AA$321,MATCH('OPEB Amounts_Report'!A264,'Change in Proportion Layers'!$A$8:$A$321,0))</f>
        <v>79594</v>
      </c>
      <c r="M264" s="70">
        <f t="shared" si="10"/>
        <v>1153561</v>
      </c>
      <c r="N264" s="71"/>
      <c r="O264" s="71">
        <f>ROUND(VLOOKUP(A264,'Contribution Allocation_Report'!$A$9:$D$310,4,FALSE)*'OPEB Amounts_Report'!$O$323,0)</f>
        <v>-210409</v>
      </c>
      <c r="P264" s="71">
        <f>INDEX('Change in Proportion Layers'!$X$8:$X$321,MATCH('OPEB Amounts_Report'!A264,'Change in Proportion Layers'!$A$8:$A$321,0))</f>
        <v>-11266</v>
      </c>
      <c r="Q264" s="71">
        <f t="shared" si="11"/>
        <v>-221675</v>
      </c>
    </row>
    <row r="265" spans="1:17" ht="12" customHeight="1">
      <c r="A265" s="254">
        <v>2394</v>
      </c>
      <c r="B265" s="255" t="s">
        <v>250</v>
      </c>
      <c r="C265" s="89">
        <f>ROUND(VLOOKUP(A265,'Contribution Allocation_Report'!$A$9:$D$310,4,FALSE)*'OPEB Amounts_Report'!$C$323,0)</f>
        <v>1023628</v>
      </c>
      <c r="D265" s="89">
        <f>ROUND(VLOOKUP(A265,'Contribution Allocation_Report'!$A$9:$D$310,4,FALSE)*'OPEB Amounts_Report'!$D$323,0)</f>
        <v>14967</v>
      </c>
      <c r="E265" s="89">
        <f>ROUND(VLOOKUP(A265,'Contribution Allocation_Report'!$A$9:$D$310,4,FALSE)*'OPEB Amounts_Report'!$E$323,0)</f>
        <v>204940</v>
      </c>
      <c r="F265" s="89">
        <f>INDEX('Change in Proportion Layers'!$Z$8:$Z$321,MATCH('OPEB Amounts_Report'!A265,'Change in Proportion Layers'!$A$8:$A$321,0))</f>
        <v>261662</v>
      </c>
      <c r="G265" s="89">
        <f t="shared" si="9"/>
        <v>481569</v>
      </c>
      <c r="H265" s="89"/>
      <c r="I265" s="89">
        <f>ROUND(VLOOKUP(A265,'Contribution Allocation_Report'!$A$9:$D$310,4,FALSE)*'OPEB Amounts_Report'!$I$323,0)</f>
        <v>163247</v>
      </c>
      <c r="J265" s="89">
        <f>ROUND(VLOOKUP(A265,'Contribution Allocation_Report'!$A$9:$D$310,4,FALSE)*'OPEB Amounts_Report'!$J$323,0)</f>
        <v>29341</v>
      </c>
      <c r="K265" s="89">
        <f>ROUND(VLOOKUP(A265,'Contribution Allocation_Report'!$A$9:$D$310,4,FALSE)*'OPEB Amounts_Report'!$K$323,0)</f>
        <v>370078</v>
      </c>
      <c r="L265" s="89">
        <f>INDEX('Change in Proportion Layers'!$AA$8:$AA$321,MATCH('OPEB Amounts_Report'!A265,'Change in Proportion Layers'!$A$8:$A$321,0))</f>
        <v>0</v>
      </c>
      <c r="M265" s="89">
        <f t="shared" si="10"/>
        <v>562666</v>
      </c>
      <c r="N265" s="90"/>
      <c r="O265" s="90">
        <f>ROUND(VLOOKUP(A265,'Contribution Allocation_Report'!$A$9:$D$310,4,FALSE)*'OPEB Amounts_Report'!$O$323,0)</f>
        <v>-110236</v>
      </c>
      <c r="P265" s="90">
        <f>INDEX('Change in Proportion Layers'!$X$8:$X$321,MATCH('OPEB Amounts_Report'!A265,'Change in Proportion Layers'!$A$8:$A$321,0))</f>
        <v>120359</v>
      </c>
      <c r="Q265" s="90">
        <f t="shared" si="11"/>
        <v>10123</v>
      </c>
    </row>
    <row r="266" spans="1:17" ht="12" customHeight="1">
      <c r="A266" s="62">
        <v>5015</v>
      </c>
      <c r="B266" s="66" t="s">
        <v>251</v>
      </c>
      <c r="C266" s="70">
        <f>ROUND(VLOOKUP(A266,'Contribution Allocation_Report'!$A$9:$D$310,4,FALSE)*'OPEB Amounts_Report'!$C$323,0)</f>
        <v>2779688</v>
      </c>
      <c r="D266" s="70">
        <f>ROUND(VLOOKUP(A266,'Contribution Allocation_Report'!$A$9:$D$310,4,FALSE)*'OPEB Amounts_Report'!$D$323,0)</f>
        <v>40643</v>
      </c>
      <c r="E266" s="70">
        <f>ROUND(VLOOKUP(A266,'Contribution Allocation_Report'!$A$9:$D$310,4,FALSE)*'OPEB Amounts_Report'!$E$323,0)</f>
        <v>556519</v>
      </c>
      <c r="F266" s="70">
        <f>INDEX('Change in Proportion Layers'!$Z$8:$Z$321,MATCH('OPEB Amounts_Report'!A266,'Change in Proportion Layers'!$A$8:$A$321,0))</f>
        <v>190157</v>
      </c>
      <c r="G266" s="70">
        <f t="shared" si="9"/>
        <v>787319</v>
      </c>
      <c r="H266" s="70"/>
      <c r="I266" s="70">
        <f>ROUND(VLOOKUP(A266,'Contribution Allocation_Report'!$A$9:$D$310,4,FALSE)*'OPEB Amounts_Report'!$I$323,0)</f>
        <v>443302</v>
      </c>
      <c r="J266" s="70">
        <f>ROUND(VLOOKUP(A266,'Contribution Allocation_Report'!$A$9:$D$310,4,FALSE)*'OPEB Amounts_Report'!$J$323,0)</f>
        <v>79677</v>
      </c>
      <c r="K266" s="70">
        <f>ROUND(VLOOKUP(A266,'Contribution Allocation_Report'!$A$9:$D$310,4,FALSE)*'OPEB Amounts_Report'!$K$323,0)</f>
        <v>1004956</v>
      </c>
      <c r="L266" s="296">
        <f>INDEX('Change in Proportion Layers'!$AA$8:$AA$321,MATCH('OPEB Amounts_Report'!A266,'Change in Proportion Layers'!$A$8:$A$321,0))</f>
        <v>69756</v>
      </c>
      <c r="M266" s="70">
        <f t="shared" si="10"/>
        <v>1597691</v>
      </c>
      <c r="N266" s="71"/>
      <c r="O266" s="71">
        <f>ROUND(VLOOKUP(A266,'Contribution Allocation_Report'!$A$9:$D$310,4,FALSE)*'OPEB Amounts_Report'!$O$323,0)</f>
        <v>-299349</v>
      </c>
      <c r="P266" s="71">
        <f>INDEX('Change in Proportion Layers'!$X$8:$X$321,MATCH('OPEB Amounts_Report'!A266,'Change in Proportion Layers'!$A$8:$A$321,0))</f>
        <v>5558</v>
      </c>
      <c r="Q266" s="71">
        <f t="shared" si="11"/>
        <v>-293791</v>
      </c>
    </row>
    <row r="267" spans="1:17" ht="12" customHeight="1">
      <c r="A267" s="254">
        <v>29408</v>
      </c>
      <c r="B267" s="255" t="s">
        <v>252</v>
      </c>
      <c r="C267" s="89">
        <f>ROUND(VLOOKUP(A267,'Contribution Allocation_Report'!$A$9:$D$310,4,FALSE)*'OPEB Amounts_Report'!$C$323,0)</f>
        <v>1850164</v>
      </c>
      <c r="D267" s="89">
        <f>ROUND(VLOOKUP(A267,'Contribution Allocation_Report'!$A$9:$D$310,4,FALSE)*'OPEB Amounts_Report'!$D$323,0)</f>
        <v>27052</v>
      </c>
      <c r="E267" s="89">
        <f>ROUND(VLOOKUP(A267,'Contribution Allocation_Report'!$A$9:$D$310,4,FALSE)*'OPEB Amounts_Report'!$E$323,0)</f>
        <v>370420</v>
      </c>
      <c r="F267" s="89">
        <f>INDEX('Change in Proportion Layers'!$Z$8:$Z$321,MATCH('OPEB Amounts_Report'!A267,'Change in Proportion Layers'!$A$8:$A$321,0))</f>
        <v>375806</v>
      </c>
      <c r="G267" s="89">
        <f t="shared" ref="G267:G321" si="14">SUM(D267:F267)</f>
        <v>773278</v>
      </c>
      <c r="H267" s="89"/>
      <c r="I267" s="89">
        <f>ROUND(VLOOKUP(A267,'Contribution Allocation_Report'!$A$9:$D$310,4,FALSE)*'OPEB Amounts_Report'!$I$323,0)</f>
        <v>295063</v>
      </c>
      <c r="J267" s="89">
        <f>ROUND(VLOOKUP(A267,'Contribution Allocation_Report'!$A$9:$D$310,4,FALSE)*'OPEB Amounts_Report'!$J$323,0)</f>
        <v>53033</v>
      </c>
      <c r="K267" s="89">
        <f>ROUND(VLOOKUP(A267,'Contribution Allocation_Report'!$A$9:$D$310,4,FALSE)*'OPEB Amounts_Report'!$K$323,0)</f>
        <v>668900</v>
      </c>
      <c r="L267" s="89">
        <f>INDEX('Change in Proportion Layers'!$AA$8:$AA$321,MATCH('OPEB Amounts_Report'!A267,'Change in Proportion Layers'!$A$8:$A$321,0))</f>
        <v>0</v>
      </c>
      <c r="M267" s="89">
        <f t="shared" ref="M267:M321" si="15">SUM(I267:L267)</f>
        <v>1016996</v>
      </c>
      <c r="N267" s="90"/>
      <c r="O267" s="90">
        <f>ROUND(VLOOKUP(A267,'Contribution Allocation_Report'!$A$9:$D$310,4,FALSE)*'OPEB Amounts_Report'!$O$323,0)</f>
        <v>-199247</v>
      </c>
      <c r="P267" s="90">
        <f>INDEX('Change in Proportion Layers'!$X$8:$X$321,MATCH('OPEB Amounts_Report'!A267,'Change in Proportion Layers'!$A$8:$A$321,0))</f>
        <v>98337</v>
      </c>
      <c r="Q267" s="90">
        <f t="shared" ref="Q267:Q321" si="16">+O267+P267</f>
        <v>-100910</v>
      </c>
    </row>
    <row r="268" spans="1:17" ht="12" customHeight="1">
      <c r="A268" s="62">
        <v>2413</v>
      </c>
      <c r="B268" s="66" t="s">
        <v>253</v>
      </c>
      <c r="C268" s="70">
        <f>ROUND(VLOOKUP(A268,'Contribution Allocation_Report'!$A$9:$D$310,4,FALSE)*'OPEB Amounts_Report'!$C$323,0)</f>
        <v>476114</v>
      </c>
      <c r="D268" s="70">
        <f>ROUND(VLOOKUP(A268,'Contribution Allocation_Report'!$A$9:$D$310,4,FALSE)*'OPEB Amounts_Report'!$D$323,0)</f>
        <v>6961</v>
      </c>
      <c r="E268" s="70">
        <f>ROUND(VLOOKUP(A268,'Contribution Allocation_Report'!$A$9:$D$310,4,FALSE)*'OPEB Amounts_Report'!$E$323,0)</f>
        <v>95322</v>
      </c>
      <c r="F268" s="70">
        <f>INDEX('Change in Proportion Layers'!$Z$8:$Z$321,MATCH('OPEB Amounts_Report'!A268,'Change in Proportion Layers'!$A$8:$A$321,0))</f>
        <v>0</v>
      </c>
      <c r="G268" s="70">
        <f t="shared" si="14"/>
        <v>102283</v>
      </c>
      <c r="H268" s="70"/>
      <c r="I268" s="70">
        <f>ROUND(VLOOKUP(A268,'Contribution Allocation_Report'!$A$9:$D$310,4,FALSE)*'OPEB Amounts_Report'!$I$323,0)</f>
        <v>75930</v>
      </c>
      <c r="J268" s="70">
        <f>ROUND(VLOOKUP(A268,'Contribution Allocation_Report'!$A$9:$D$310,4,FALSE)*'OPEB Amounts_Report'!$J$323,0)</f>
        <v>13647</v>
      </c>
      <c r="K268" s="70">
        <f>ROUND(VLOOKUP(A268,'Contribution Allocation_Report'!$A$9:$D$310,4,FALSE)*'OPEB Amounts_Report'!$K$323,0)</f>
        <v>172132</v>
      </c>
      <c r="L268" s="296">
        <f>INDEX('Change in Proportion Layers'!$AA$8:$AA$321,MATCH('OPEB Amounts_Report'!A268,'Change in Proportion Layers'!$A$8:$A$321,0))</f>
        <v>214809</v>
      </c>
      <c r="M268" s="70">
        <f t="shared" si="15"/>
        <v>476518</v>
      </c>
      <c r="N268" s="71"/>
      <c r="O268" s="71">
        <f>ROUND(VLOOKUP(A268,'Contribution Allocation_Report'!$A$9:$D$310,4,FALSE)*'OPEB Amounts_Report'!$O$323,0)</f>
        <v>-51273</v>
      </c>
      <c r="P268" s="71">
        <f>INDEX('Change in Proportion Layers'!$X$8:$X$321,MATCH('OPEB Amounts_Report'!A268,'Change in Proportion Layers'!$A$8:$A$321,0))</f>
        <v>-73931</v>
      </c>
      <c r="Q268" s="71">
        <f t="shared" si="16"/>
        <v>-125204</v>
      </c>
    </row>
    <row r="269" spans="1:17" ht="12" customHeight="1">
      <c r="A269" s="254">
        <v>1398</v>
      </c>
      <c r="B269" s="255" t="s">
        <v>254</v>
      </c>
      <c r="C269" s="89">
        <f>ROUND(VLOOKUP(A269,'Contribution Allocation_Report'!$A$9:$D$310,4,FALSE)*'OPEB Amounts_Report'!$C$323,0)</f>
        <v>857794</v>
      </c>
      <c r="D269" s="89">
        <f>ROUND(VLOOKUP(A269,'Contribution Allocation_Report'!$A$9:$D$310,4,FALSE)*'OPEB Amounts_Report'!$D$323,0)</f>
        <v>12542</v>
      </c>
      <c r="E269" s="89">
        <f>ROUND(VLOOKUP(A269,'Contribution Allocation_Report'!$A$9:$D$310,4,FALSE)*'OPEB Amounts_Report'!$E$323,0)</f>
        <v>171738</v>
      </c>
      <c r="F269" s="297">
        <f>INDEX('Change in Proportion Layers'!$Z$8:$Z$321,MATCH('OPEB Amounts_Report'!A269,'Change in Proportion Layers'!$A$8:$A$321,0))</f>
        <v>115892</v>
      </c>
      <c r="G269" s="89">
        <f t="shared" si="14"/>
        <v>300172</v>
      </c>
      <c r="H269" s="89"/>
      <c r="I269" s="89">
        <f>ROUND(VLOOKUP(A269,'Contribution Allocation_Report'!$A$9:$D$310,4,FALSE)*'OPEB Amounts_Report'!$I$323,0)</f>
        <v>136800</v>
      </c>
      <c r="J269" s="89">
        <f>ROUND(VLOOKUP(A269,'Contribution Allocation_Report'!$A$9:$D$310,4,FALSE)*'OPEB Amounts_Report'!$J$323,0)</f>
        <v>24588</v>
      </c>
      <c r="K269" s="89">
        <f>ROUND(VLOOKUP(A269,'Contribution Allocation_Report'!$A$9:$D$310,4,FALSE)*'OPEB Amounts_Report'!$K$323,0)</f>
        <v>310123</v>
      </c>
      <c r="L269" s="89">
        <f>INDEX('Change in Proportion Layers'!$AA$8:$AA$321,MATCH('OPEB Amounts_Report'!A269,'Change in Proportion Layers'!$A$8:$A$321,0))</f>
        <v>32670</v>
      </c>
      <c r="M269" s="89">
        <f t="shared" si="15"/>
        <v>504181</v>
      </c>
      <c r="N269" s="90"/>
      <c r="O269" s="90">
        <f>ROUND(VLOOKUP(A269,'Contribution Allocation_Report'!$A$9:$D$310,4,FALSE)*'OPEB Amounts_Report'!$O$323,0)</f>
        <v>-92377</v>
      </c>
      <c r="P269" s="90">
        <f>INDEX('Change in Proportion Layers'!$X$8:$X$321,MATCH('OPEB Amounts_Report'!A269,'Change in Proportion Layers'!$A$8:$A$321,0))</f>
        <v>31808</v>
      </c>
      <c r="Q269" s="90">
        <f t="shared" si="16"/>
        <v>-60569</v>
      </c>
    </row>
    <row r="270" spans="1:17" ht="12" customHeight="1">
      <c r="A270" s="62">
        <v>2366</v>
      </c>
      <c r="B270" s="66" t="s">
        <v>255</v>
      </c>
      <c r="C270" s="70">
        <f>ROUND(VLOOKUP(A270,'Contribution Allocation_Report'!$A$9:$D$310,4,FALSE)*'OPEB Amounts_Report'!$C$323,0)</f>
        <v>902872</v>
      </c>
      <c r="D270" s="70">
        <f>ROUND(VLOOKUP(A270,'Contribution Allocation_Report'!$A$9:$D$310,4,FALSE)*'OPEB Amounts_Report'!$D$323,0)</f>
        <v>13201</v>
      </c>
      <c r="E270" s="70">
        <f>ROUND(VLOOKUP(A270,'Contribution Allocation_Report'!$A$9:$D$310,4,FALSE)*'OPEB Amounts_Report'!$E$323,0)</f>
        <v>180763</v>
      </c>
      <c r="F270" s="70">
        <f>INDEX('Change in Proportion Layers'!$Z$8:$Z$321,MATCH('OPEB Amounts_Report'!A270,'Change in Proportion Layers'!$A$8:$A$321,0))</f>
        <v>33073</v>
      </c>
      <c r="G270" s="70">
        <f t="shared" si="14"/>
        <v>227037</v>
      </c>
      <c r="H270" s="70"/>
      <c r="I270" s="70">
        <f>ROUND(VLOOKUP(A270,'Contribution Allocation_Report'!$A$9:$D$310,4,FALSE)*'OPEB Amounts_Report'!$I$323,0)</f>
        <v>143989</v>
      </c>
      <c r="J270" s="70">
        <f>ROUND(VLOOKUP(A270,'Contribution Allocation_Report'!$A$9:$D$310,4,FALSE)*'OPEB Amounts_Report'!$J$323,0)</f>
        <v>25880</v>
      </c>
      <c r="K270" s="70">
        <f>ROUND(VLOOKUP(A270,'Contribution Allocation_Report'!$A$9:$D$310,4,FALSE)*'OPEB Amounts_Report'!$K$323,0)</f>
        <v>326420</v>
      </c>
      <c r="L270" s="296">
        <f>INDEX('Change in Proportion Layers'!$AA$8:$AA$321,MATCH('OPEB Amounts_Report'!A270,'Change in Proportion Layers'!$A$8:$A$321,0))</f>
        <v>107559</v>
      </c>
      <c r="M270" s="70">
        <f t="shared" si="15"/>
        <v>603848</v>
      </c>
      <c r="N270" s="71"/>
      <c r="O270" s="71">
        <f>ROUND(VLOOKUP(A270,'Contribution Allocation_Report'!$A$9:$D$310,4,FALSE)*'OPEB Amounts_Report'!$O$323,0)</f>
        <v>-97232</v>
      </c>
      <c r="P270" s="71">
        <f>INDEX('Change in Proportion Layers'!$X$8:$X$321,MATCH('OPEB Amounts_Report'!A270,'Change in Proportion Layers'!$A$8:$A$321,0))</f>
        <v>-31836</v>
      </c>
      <c r="Q270" s="71">
        <f t="shared" si="16"/>
        <v>-129068</v>
      </c>
    </row>
    <row r="271" spans="1:17" ht="12" customHeight="1">
      <c r="A271" s="254">
        <v>7421</v>
      </c>
      <c r="B271" s="255" t="s">
        <v>256</v>
      </c>
      <c r="C271" s="89">
        <f>ROUND(VLOOKUP(A271,'Contribution Allocation_Report'!$A$9:$D$310,4,FALSE)*'OPEB Amounts_Report'!$C$323,0)</f>
        <v>696567</v>
      </c>
      <c r="D271" s="89">
        <f>ROUND(VLOOKUP(A271,'Contribution Allocation_Report'!$A$9:$D$310,4,FALSE)*'OPEB Amounts_Report'!$D$323,0)</f>
        <v>10185</v>
      </c>
      <c r="E271" s="89">
        <f>ROUND(VLOOKUP(A271,'Contribution Allocation_Report'!$A$9:$D$310,4,FALSE)*'OPEB Amounts_Report'!$E$323,0)</f>
        <v>139459</v>
      </c>
      <c r="F271" s="297">
        <f>INDEX('Change in Proportion Layers'!$Z$8:$Z$321,MATCH('OPEB Amounts_Report'!A271,'Change in Proportion Layers'!$A$8:$A$321,0))</f>
        <v>70945</v>
      </c>
      <c r="G271" s="89">
        <f t="shared" si="14"/>
        <v>220589</v>
      </c>
      <c r="H271" s="89"/>
      <c r="I271" s="89">
        <f>ROUND(VLOOKUP(A271,'Contribution Allocation_Report'!$A$9:$D$310,4,FALSE)*'OPEB Amounts_Report'!$I$323,0)</f>
        <v>111088</v>
      </c>
      <c r="J271" s="89">
        <f>ROUND(VLOOKUP(A271,'Contribution Allocation_Report'!$A$9:$D$310,4,FALSE)*'OPEB Amounts_Report'!$J$323,0)</f>
        <v>19967</v>
      </c>
      <c r="K271" s="89">
        <f>ROUND(VLOOKUP(A271,'Contribution Allocation_Report'!$A$9:$D$310,4,FALSE)*'OPEB Amounts_Report'!$K$323,0)</f>
        <v>251834</v>
      </c>
      <c r="L271" s="89">
        <f>INDEX('Change in Proportion Layers'!$AA$8:$AA$321,MATCH('OPEB Amounts_Report'!A271,'Change in Proportion Layers'!$A$8:$A$321,0))</f>
        <v>261996</v>
      </c>
      <c r="M271" s="89">
        <f t="shared" si="15"/>
        <v>644885</v>
      </c>
      <c r="N271" s="90"/>
      <c r="O271" s="90">
        <f>ROUND(VLOOKUP(A271,'Contribution Allocation_Report'!$A$9:$D$310,4,FALSE)*'OPEB Amounts_Report'!$O$323,0)</f>
        <v>-75014</v>
      </c>
      <c r="P271" s="90">
        <f>INDEX('Change in Proportion Layers'!$X$8:$X$321,MATCH('OPEB Amounts_Report'!A271,'Change in Proportion Layers'!$A$8:$A$321,0))</f>
        <v>-62205</v>
      </c>
      <c r="Q271" s="90">
        <f t="shared" si="16"/>
        <v>-137219</v>
      </c>
    </row>
    <row r="272" spans="1:17" ht="12" customHeight="1">
      <c r="A272" s="62">
        <v>2370</v>
      </c>
      <c r="B272" s="66" t="s">
        <v>257</v>
      </c>
      <c r="C272" s="70">
        <f>ROUND(VLOOKUP(A272,'Contribution Allocation_Report'!$A$9:$D$310,4,FALSE)*'OPEB Amounts_Report'!$C$323,0)</f>
        <v>1320746</v>
      </c>
      <c r="D272" s="70">
        <f>ROUND(VLOOKUP(A272,'Contribution Allocation_Report'!$A$9:$D$310,4,FALSE)*'OPEB Amounts_Report'!$D$323,0)</f>
        <v>19311</v>
      </c>
      <c r="E272" s="70">
        <f>ROUND(VLOOKUP(A272,'Contribution Allocation_Report'!$A$9:$D$310,4,FALSE)*'OPEB Amounts_Report'!$E$323,0)</f>
        <v>264426</v>
      </c>
      <c r="F272" s="70">
        <f>INDEX('Change in Proportion Layers'!$Z$8:$Z$321,MATCH('OPEB Amounts_Report'!A272,'Change in Proportion Layers'!$A$8:$A$321,0))</f>
        <v>183897</v>
      </c>
      <c r="G272" s="70">
        <f t="shared" si="14"/>
        <v>467634</v>
      </c>
      <c r="H272" s="70"/>
      <c r="I272" s="70">
        <f>ROUND(VLOOKUP(A272,'Contribution Allocation_Report'!$A$9:$D$310,4,FALSE)*'OPEB Amounts_Report'!$I$323,0)</f>
        <v>210632</v>
      </c>
      <c r="J272" s="70">
        <f>ROUND(VLOOKUP(A272,'Contribution Allocation_Report'!$A$9:$D$310,4,FALSE)*'OPEB Amounts_Report'!$J$323,0)</f>
        <v>37858</v>
      </c>
      <c r="K272" s="70">
        <f>ROUND(VLOOKUP(A272,'Contribution Allocation_Report'!$A$9:$D$310,4,FALSE)*'OPEB Amounts_Report'!$K$323,0)</f>
        <v>477497</v>
      </c>
      <c r="L272" s="70">
        <f>INDEX('Change in Proportion Layers'!$AA$8:$AA$321,MATCH('OPEB Amounts_Report'!A272,'Change in Proportion Layers'!$A$8:$A$321,0))</f>
        <v>66242</v>
      </c>
      <c r="M272" s="70">
        <f t="shared" si="15"/>
        <v>792229</v>
      </c>
      <c r="N272" s="71"/>
      <c r="O272" s="71">
        <f>ROUND(VLOOKUP(A272,'Contribution Allocation_Report'!$A$9:$D$310,4,FALSE)*'OPEB Amounts_Report'!$O$323,0)</f>
        <v>-142233</v>
      </c>
      <c r="P272" s="71">
        <f>INDEX('Change in Proportion Layers'!$X$8:$X$321,MATCH('OPEB Amounts_Report'!A272,'Change in Proportion Layers'!$A$8:$A$321,0))</f>
        <v>9157</v>
      </c>
      <c r="Q272" s="71">
        <f t="shared" si="16"/>
        <v>-133076</v>
      </c>
    </row>
    <row r="273" spans="1:17" ht="12" customHeight="1">
      <c r="A273" s="254">
        <v>32094</v>
      </c>
      <c r="B273" s="255" t="s">
        <v>258</v>
      </c>
      <c r="C273" s="89">
        <f>ROUND(VLOOKUP(A273,'Contribution Allocation_Report'!$A$9:$D$310,4,FALSE)*'OPEB Amounts_Report'!$C$323,0)</f>
        <v>1346082</v>
      </c>
      <c r="D273" s="89">
        <f>ROUND(VLOOKUP(A273,'Contribution Allocation_Report'!$A$9:$D$310,4,FALSE)*'OPEB Amounts_Report'!$D$323,0)</f>
        <v>19681</v>
      </c>
      <c r="E273" s="89">
        <f>ROUND(VLOOKUP(A273,'Contribution Allocation_Report'!$A$9:$D$310,4,FALSE)*'OPEB Amounts_Report'!$E$323,0)</f>
        <v>269498</v>
      </c>
      <c r="F273" s="89">
        <f>INDEX('Change in Proportion Layers'!$Z$8:$Z$321,MATCH('OPEB Amounts_Report'!A273,'Change in Proportion Layers'!$A$8:$A$321,0))</f>
        <v>86409</v>
      </c>
      <c r="G273" s="89">
        <f t="shared" si="14"/>
        <v>375588</v>
      </c>
      <c r="H273" s="89"/>
      <c r="I273" s="89">
        <f>ROUND(VLOOKUP(A273,'Contribution Allocation_Report'!$A$9:$D$310,4,FALSE)*'OPEB Amounts_Report'!$I$323,0)</f>
        <v>214672</v>
      </c>
      <c r="J273" s="89">
        <f>ROUND(VLOOKUP(A273,'Contribution Allocation_Report'!$A$9:$D$310,4,FALSE)*'OPEB Amounts_Report'!$J$323,0)</f>
        <v>38584</v>
      </c>
      <c r="K273" s="89">
        <f>ROUND(VLOOKUP(A273,'Contribution Allocation_Report'!$A$9:$D$310,4,FALSE)*'OPEB Amounts_Report'!$K$323,0)</f>
        <v>486656</v>
      </c>
      <c r="L273" s="89">
        <f>INDEX('Change in Proportion Layers'!$AA$8:$AA$321,MATCH('OPEB Amounts_Report'!A273,'Change in Proportion Layers'!$A$8:$A$321,0))</f>
        <v>52207</v>
      </c>
      <c r="M273" s="89">
        <f t="shared" si="15"/>
        <v>792119</v>
      </c>
      <c r="N273" s="90"/>
      <c r="O273" s="90">
        <f>ROUND(VLOOKUP(A273,'Contribution Allocation_Report'!$A$9:$D$310,4,FALSE)*'OPEB Amounts_Report'!$O$323,0)</f>
        <v>-144962</v>
      </c>
      <c r="P273" s="90">
        <f>INDEX('Change in Proportion Layers'!$X$8:$X$321,MATCH('OPEB Amounts_Report'!A273,'Change in Proportion Layers'!$A$8:$A$321,0))</f>
        <v>-8010</v>
      </c>
      <c r="Q273" s="90">
        <f t="shared" si="16"/>
        <v>-152972</v>
      </c>
    </row>
    <row r="274" spans="1:17" ht="12" customHeight="1">
      <c r="A274" s="62">
        <v>2790</v>
      </c>
      <c r="B274" s="66" t="s">
        <v>259</v>
      </c>
      <c r="C274" s="70">
        <f>ROUND(VLOOKUP(A274,'Contribution Allocation_Report'!$A$9:$D$310,4,FALSE)*'OPEB Amounts_Report'!$C$323,0)</f>
        <v>149053</v>
      </c>
      <c r="D274" s="70">
        <f>ROUND(VLOOKUP(A274,'Contribution Allocation_Report'!$A$9:$D$310,4,FALSE)*'OPEB Amounts_Report'!$D$323,0)</f>
        <v>2179</v>
      </c>
      <c r="E274" s="70">
        <f>ROUND(VLOOKUP(A274,'Contribution Allocation_Report'!$A$9:$D$310,4,FALSE)*'OPEB Amounts_Report'!$E$323,0)</f>
        <v>29842</v>
      </c>
      <c r="F274" s="70">
        <f>INDEX('Change in Proportion Layers'!$Z$8:$Z$321,MATCH('OPEB Amounts_Report'!A274,'Change in Proportion Layers'!$A$8:$A$321,0))</f>
        <v>43445</v>
      </c>
      <c r="G274" s="70">
        <f t="shared" si="14"/>
        <v>75466</v>
      </c>
      <c r="H274" s="70"/>
      <c r="I274" s="70">
        <f>ROUND(VLOOKUP(A274,'Contribution Allocation_Report'!$A$9:$D$310,4,FALSE)*'OPEB Amounts_Report'!$I$323,0)</f>
        <v>23771</v>
      </c>
      <c r="J274" s="70">
        <f>ROUND(VLOOKUP(A274,'Contribution Allocation_Report'!$A$9:$D$310,4,FALSE)*'OPEB Amounts_Report'!$J$323,0)</f>
        <v>4272</v>
      </c>
      <c r="K274" s="70">
        <f>ROUND(VLOOKUP(A274,'Contribution Allocation_Report'!$A$9:$D$310,4,FALSE)*'OPEB Amounts_Report'!$K$323,0)</f>
        <v>53888</v>
      </c>
      <c r="L274" s="70">
        <f>INDEX('Change in Proportion Layers'!$AA$8:$AA$321,MATCH('OPEB Amounts_Report'!A274,'Change in Proportion Layers'!$A$8:$A$321,0))</f>
        <v>57779</v>
      </c>
      <c r="M274" s="70">
        <f t="shared" si="15"/>
        <v>139710</v>
      </c>
      <c r="N274" s="71"/>
      <c r="O274" s="71">
        <f>ROUND(VLOOKUP(A274,'Contribution Allocation_Report'!$A$9:$D$310,4,FALSE)*'OPEB Amounts_Report'!$O$323,0)</f>
        <v>-16052</v>
      </c>
      <c r="P274" s="71">
        <f>INDEX('Change in Proportion Layers'!$X$8:$X$321,MATCH('OPEB Amounts_Report'!A274,'Change in Proportion Layers'!$A$8:$A$321,0))</f>
        <v>-7649</v>
      </c>
      <c r="Q274" s="71">
        <f t="shared" si="16"/>
        <v>-23701</v>
      </c>
    </row>
    <row r="275" spans="1:17" ht="12" customHeight="1">
      <c r="A275" s="254">
        <v>3330</v>
      </c>
      <c r="B275" s="255" t="s">
        <v>260</v>
      </c>
      <c r="C275" s="89">
        <f>ROUND(VLOOKUP(A275,'Contribution Allocation_Report'!$A$9:$D$310,4,FALSE)*'OPEB Amounts_Report'!$C$323,0)</f>
        <v>2986651</v>
      </c>
      <c r="D275" s="89">
        <f>ROUND(VLOOKUP(A275,'Contribution Allocation_Report'!$A$9:$D$310,4,FALSE)*'OPEB Amounts_Report'!$D$323,0)</f>
        <v>43669</v>
      </c>
      <c r="E275" s="89">
        <f>ROUND(VLOOKUP(A275,'Contribution Allocation_Report'!$A$9:$D$310,4,FALSE)*'OPEB Amounts_Report'!$E$323,0)</f>
        <v>597955</v>
      </c>
      <c r="F275" s="89">
        <f>INDEX('Change in Proportion Layers'!$Z$8:$Z$321,MATCH('OPEB Amounts_Report'!A275,'Change in Proportion Layers'!$A$8:$A$321,0))</f>
        <v>327407</v>
      </c>
      <c r="G275" s="89">
        <f t="shared" si="14"/>
        <v>969031</v>
      </c>
      <c r="H275" s="89"/>
      <c r="I275" s="89">
        <f>ROUND(VLOOKUP(A275,'Contribution Allocation_Report'!$A$9:$D$310,4,FALSE)*'OPEB Amounts_Report'!$I$323,0)</f>
        <v>476309</v>
      </c>
      <c r="J275" s="89">
        <f>ROUND(VLOOKUP(A275,'Contribution Allocation_Report'!$A$9:$D$310,4,FALSE)*'OPEB Amounts_Report'!$J$323,0)</f>
        <v>85610</v>
      </c>
      <c r="K275" s="89">
        <f>ROUND(VLOOKUP(A275,'Contribution Allocation_Report'!$A$9:$D$310,4,FALSE)*'OPEB Amounts_Report'!$K$323,0)</f>
        <v>1079780</v>
      </c>
      <c r="L275" s="89">
        <f>INDEX('Change in Proportion Layers'!$AA$8:$AA$321,MATCH('OPEB Amounts_Report'!A275,'Change in Proportion Layers'!$A$8:$A$321,0))</f>
        <v>45668</v>
      </c>
      <c r="M275" s="89">
        <f t="shared" si="15"/>
        <v>1687367</v>
      </c>
      <c r="N275" s="90"/>
      <c r="O275" s="90">
        <f>ROUND(VLOOKUP(A275,'Contribution Allocation_Report'!$A$9:$D$310,4,FALSE)*'OPEB Amounts_Report'!$O$323,0)</f>
        <v>-321637</v>
      </c>
      <c r="P275" s="90">
        <f>INDEX('Change in Proportion Layers'!$X$8:$X$321,MATCH('OPEB Amounts_Report'!A275,'Change in Proportion Layers'!$A$8:$A$321,0))</f>
        <v>54219</v>
      </c>
      <c r="Q275" s="90">
        <f t="shared" si="16"/>
        <v>-267418</v>
      </c>
    </row>
    <row r="276" spans="1:17" ht="12" customHeight="1">
      <c r="A276" s="62">
        <v>2080</v>
      </c>
      <c r="B276" s="66" t="s">
        <v>261</v>
      </c>
      <c r="C276" s="70">
        <f>ROUND(VLOOKUP(A276,'Contribution Allocation_Report'!$A$9:$D$310,4,FALSE)*'OPEB Amounts_Report'!$C$323,0)</f>
        <v>3407815</v>
      </c>
      <c r="D276" s="70">
        <f>ROUND(VLOOKUP(A276,'Contribution Allocation_Report'!$A$9:$D$310,4,FALSE)*'OPEB Amounts_Report'!$D$323,0)</f>
        <v>49827</v>
      </c>
      <c r="E276" s="70">
        <f>ROUND(VLOOKUP(A276,'Contribution Allocation_Report'!$A$9:$D$310,4,FALSE)*'OPEB Amounts_Report'!$E$323,0)</f>
        <v>682276</v>
      </c>
      <c r="F276" s="70">
        <f>INDEX('Change in Proportion Layers'!$Z$8:$Z$321,MATCH('OPEB Amounts_Report'!A276,'Change in Proportion Layers'!$A$8:$A$321,0))</f>
        <v>337506</v>
      </c>
      <c r="G276" s="70">
        <f t="shared" si="14"/>
        <v>1069609</v>
      </c>
      <c r="H276" s="70"/>
      <c r="I276" s="70">
        <f>ROUND(VLOOKUP(A276,'Contribution Allocation_Report'!$A$9:$D$310,4,FALSE)*'OPEB Amounts_Report'!$I$323,0)</f>
        <v>543476</v>
      </c>
      <c r="J276" s="70">
        <f>ROUND(VLOOKUP(A276,'Contribution Allocation_Report'!$A$9:$D$310,4,FALSE)*'OPEB Amounts_Report'!$J$323,0)</f>
        <v>97682</v>
      </c>
      <c r="K276" s="70">
        <f>ROUND(VLOOKUP(A276,'Contribution Allocation_Report'!$A$9:$D$310,4,FALSE)*'OPEB Amounts_Report'!$K$323,0)</f>
        <v>1232046</v>
      </c>
      <c r="L276" s="70">
        <f>INDEX('Change in Proportion Layers'!$AA$8:$AA$321,MATCH('OPEB Amounts_Report'!A276,'Change in Proportion Layers'!$A$8:$A$321,0))</f>
        <v>194807</v>
      </c>
      <c r="M276" s="70">
        <f t="shared" si="15"/>
        <v>2068011</v>
      </c>
      <c r="N276" s="71"/>
      <c r="O276" s="71">
        <f>ROUND(VLOOKUP(A276,'Contribution Allocation_Report'!$A$9:$D$310,4,FALSE)*'OPEB Amounts_Report'!$O$323,0)</f>
        <v>-366993</v>
      </c>
      <c r="P276" s="71">
        <f>INDEX('Change in Proportion Layers'!$X$8:$X$321,MATCH('OPEB Amounts_Report'!A276,'Change in Proportion Layers'!$A$8:$A$321,0))</f>
        <v>82795</v>
      </c>
      <c r="Q276" s="71">
        <f t="shared" si="16"/>
        <v>-284198</v>
      </c>
    </row>
    <row r="277" spans="1:17" ht="12" customHeight="1">
      <c r="A277" s="254">
        <v>4290</v>
      </c>
      <c r="B277" s="255" t="s">
        <v>262</v>
      </c>
      <c r="C277" s="89">
        <f>ROUND(VLOOKUP(A277,'Contribution Allocation_Report'!$A$9:$D$310,4,FALSE)*'OPEB Amounts_Report'!$C$323,0)</f>
        <v>1121680</v>
      </c>
      <c r="D277" s="89">
        <f>ROUND(VLOOKUP(A277,'Contribution Allocation_Report'!$A$9:$D$310,4,FALSE)*'OPEB Amounts_Report'!$D$323,0)</f>
        <v>16400</v>
      </c>
      <c r="E277" s="89">
        <f>ROUND(VLOOKUP(A277,'Contribution Allocation_Report'!$A$9:$D$310,4,FALSE)*'OPEB Amounts_Report'!$E$323,0)</f>
        <v>224571</v>
      </c>
      <c r="F277" s="89">
        <f>INDEX('Change in Proportion Layers'!$Z$8:$Z$321,MATCH('OPEB Amounts_Report'!A277,'Change in Proportion Layers'!$A$8:$A$321,0))</f>
        <v>152442</v>
      </c>
      <c r="G277" s="89">
        <f t="shared" si="14"/>
        <v>393413</v>
      </c>
      <c r="H277" s="89"/>
      <c r="I277" s="89">
        <f>ROUND(VLOOKUP(A277,'Contribution Allocation_Report'!$A$9:$D$310,4,FALSE)*'OPEB Amounts_Report'!$I$323,0)</f>
        <v>178885</v>
      </c>
      <c r="J277" s="89">
        <f>ROUND(VLOOKUP(A277,'Contribution Allocation_Report'!$A$9:$D$310,4,FALSE)*'OPEB Amounts_Report'!$J$323,0)</f>
        <v>32152</v>
      </c>
      <c r="K277" s="89">
        <f>ROUND(VLOOKUP(A277,'Contribution Allocation_Report'!$A$9:$D$310,4,FALSE)*'OPEB Amounts_Report'!$K$323,0)</f>
        <v>405527</v>
      </c>
      <c r="L277" s="297">
        <f>INDEX('Change in Proportion Layers'!$AA$8:$AA$321,MATCH('OPEB Amounts_Report'!A277,'Change in Proportion Layers'!$A$8:$A$321,0))</f>
        <v>10253</v>
      </c>
      <c r="M277" s="89">
        <f t="shared" si="15"/>
        <v>626817</v>
      </c>
      <c r="N277" s="90"/>
      <c r="O277" s="90">
        <f>ROUND(VLOOKUP(A277,'Contribution Allocation_Report'!$A$9:$D$310,4,FALSE)*'OPEB Amounts_Report'!$O$323,0)</f>
        <v>-120796</v>
      </c>
      <c r="P277" s="90">
        <f>INDEX('Change in Proportion Layers'!$X$8:$X$321,MATCH('OPEB Amounts_Report'!A277,'Change in Proportion Layers'!$A$8:$A$321,0))</f>
        <v>65722</v>
      </c>
      <c r="Q277" s="90">
        <f t="shared" si="16"/>
        <v>-55074</v>
      </c>
    </row>
    <row r="278" spans="1:17" ht="12" customHeight="1">
      <c r="A278" s="62">
        <v>2270</v>
      </c>
      <c r="B278" s="66" t="s">
        <v>263</v>
      </c>
      <c r="C278" s="70">
        <f>ROUND(VLOOKUP(A278,'Contribution Allocation_Report'!$A$9:$D$310,4,FALSE)*'OPEB Amounts_Report'!$C$323,0)</f>
        <v>63833</v>
      </c>
      <c r="D278" s="70">
        <f>ROUND(VLOOKUP(A278,'Contribution Allocation_Report'!$A$9:$D$310,4,FALSE)*'OPEB Amounts_Report'!$D$323,0)</f>
        <v>933</v>
      </c>
      <c r="E278" s="70">
        <f>ROUND(VLOOKUP(A278,'Contribution Allocation_Report'!$A$9:$D$310,4,FALSE)*'OPEB Amounts_Report'!$E$323,0)</f>
        <v>12780</v>
      </c>
      <c r="F278" s="70">
        <f>INDEX('Change in Proportion Layers'!$Z$8:$Z$321,MATCH('OPEB Amounts_Report'!A278,'Change in Proportion Layers'!$A$8:$A$321,0))</f>
        <v>8684</v>
      </c>
      <c r="G278" s="70">
        <f t="shared" si="14"/>
        <v>22397</v>
      </c>
      <c r="H278" s="70"/>
      <c r="I278" s="70">
        <f>ROUND(VLOOKUP(A278,'Contribution Allocation_Report'!$A$9:$D$310,4,FALSE)*'OPEB Amounts_Report'!$I$323,0)</f>
        <v>10180</v>
      </c>
      <c r="J278" s="70">
        <f>ROUND(VLOOKUP(A278,'Contribution Allocation_Report'!$A$9:$D$310,4,FALSE)*'OPEB Amounts_Report'!$J$323,0)</f>
        <v>1830</v>
      </c>
      <c r="K278" s="70">
        <f>ROUND(VLOOKUP(A278,'Contribution Allocation_Report'!$A$9:$D$310,4,FALSE)*'OPEB Amounts_Report'!$K$323,0)</f>
        <v>23078</v>
      </c>
      <c r="L278" s="296">
        <f>INDEX('Change in Proportion Layers'!$AA$8:$AA$321,MATCH('OPEB Amounts_Report'!A278,'Change in Proportion Layers'!$A$8:$A$321,0))</f>
        <v>48184</v>
      </c>
      <c r="M278" s="70">
        <f t="shared" si="15"/>
        <v>83272</v>
      </c>
      <c r="N278" s="71"/>
      <c r="O278" s="71">
        <f>ROUND(VLOOKUP(A278,'Contribution Allocation_Report'!$A$9:$D$310,4,FALSE)*'OPEB Amounts_Report'!$O$323,0)</f>
        <v>-6874</v>
      </c>
      <c r="P278" s="71">
        <f>INDEX('Change in Proportion Layers'!$X$8:$X$321,MATCH('OPEB Amounts_Report'!A278,'Change in Proportion Layers'!$A$8:$A$321,0))</f>
        <v>-6492</v>
      </c>
      <c r="Q278" s="71">
        <f t="shared" si="16"/>
        <v>-13366</v>
      </c>
    </row>
    <row r="279" spans="1:17" ht="12" customHeight="1">
      <c r="A279" s="254">
        <v>2300</v>
      </c>
      <c r="B279" s="255" t="s">
        <v>264</v>
      </c>
      <c r="C279" s="89">
        <f>ROUND(VLOOKUP(A279,'Contribution Allocation_Report'!$A$9:$D$310,4,FALSE)*'OPEB Amounts_Report'!$C$323,0)</f>
        <v>301067</v>
      </c>
      <c r="D279" s="89">
        <f>ROUND(VLOOKUP(A279,'Contribution Allocation_Report'!$A$9:$D$310,4,FALSE)*'OPEB Amounts_Report'!$D$323,0)</f>
        <v>4402</v>
      </c>
      <c r="E279" s="89">
        <f>ROUND(VLOOKUP(A279,'Contribution Allocation_Report'!$A$9:$D$310,4,FALSE)*'OPEB Amounts_Report'!$E$323,0)</f>
        <v>60276</v>
      </c>
      <c r="F279" s="89">
        <f>INDEX('Change in Proportion Layers'!$Z$8:$Z$321,MATCH('OPEB Amounts_Report'!A279,'Change in Proportion Layers'!$A$8:$A$321,0))</f>
        <v>7519</v>
      </c>
      <c r="G279" s="89">
        <f t="shared" si="14"/>
        <v>72197</v>
      </c>
      <c r="H279" s="89"/>
      <c r="I279" s="89">
        <f>ROUND(VLOOKUP(A279,'Contribution Allocation_Report'!$A$9:$D$310,4,FALSE)*'OPEB Amounts_Report'!$I$323,0)</f>
        <v>48014</v>
      </c>
      <c r="J279" s="89">
        <f>ROUND(VLOOKUP(A279,'Contribution Allocation_Report'!$A$9:$D$310,4,FALSE)*'OPEB Amounts_Report'!$J$323,0)</f>
        <v>8630</v>
      </c>
      <c r="K279" s="89">
        <f>ROUND(VLOOKUP(A279,'Contribution Allocation_Report'!$A$9:$D$310,4,FALSE)*'OPEB Amounts_Report'!$K$323,0)</f>
        <v>108846</v>
      </c>
      <c r="L279" s="89">
        <f>INDEX('Change in Proportion Layers'!$AA$8:$AA$321,MATCH('OPEB Amounts_Report'!A279,'Change in Proportion Layers'!$A$8:$A$321,0))</f>
        <v>100410</v>
      </c>
      <c r="M279" s="89">
        <f t="shared" si="15"/>
        <v>265900</v>
      </c>
      <c r="N279" s="90"/>
      <c r="O279" s="90">
        <f>ROUND(VLOOKUP(A279,'Contribution Allocation_Report'!$A$9:$D$310,4,FALSE)*'OPEB Amounts_Report'!$O$323,0)</f>
        <v>-32422</v>
      </c>
      <c r="P279" s="90">
        <f>INDEX('Change in Proportion Layers'!$X$8:$X$321,MATCH('OPEB Amounts_Report'!A279,'Change in Proportion Layers'!$A$8:$A$321,0))</f>
        <v>-35330</v>
      </c>
      <c r="Q279" s="90">
        <f t="shared" si="16"/>
        <v>-67752</v>
      </c>
    </row>
    <row r="280" spans="1:17" ht="12" customHeight="1">
      <c r="A280" s="62">
        <v>2720</v>
      </c>
      <c r="B280" s="66" t="s">
        <v>265</v>
      </c>
      <c r="C280" s="70">
        <f>ROUND(VLOOKUP(A280,'Contribution Allocation_Report'!$A$9:$D$310,4,FALSE)*'OPEB Amounts_Report'!$C$323,0)</f>
        <v>4438024</v>
      </c>
      <c r="D280" s="70">
        <f>ROUND(VLOOKUP(A280,'Contribution Allocation_Report'!$A$9:$D$310,4,FALSE)*'OPEB Amounts_Report'!$D$323,0)</f>
        <v>64890</v>
      </c>
      <c r="E280" s="70">
        <f>ROUND(VLOOKUP(A280,'Contribution Allocation_Report'!$A$9:$D$310,4,FALSE)*'OPEB Amounts_Report'!$E$323,0)</f>
        <v>888533</v>
      </c>
      <c r="F280" s="70">
        <f>INDEX('Change in Proportion Layers'!$Z$8:$Z$321,MATCH('OPEB Amounts_Report'!A280,'Change in Proportion Layers'!$A$8:$A$321,0))</f>
        <v>108521</v>
      </c>
      <c r="G280" s="70">
        <f t="shared" si="14"/>
        <v>1061944</v>
      </c>
      <c r="H280" s="70"/>
      <c r="I280" s="70">
        <f>ROUND(VLOOKUP(A280,'Contribution Allocation_Report'!$A$9:$D$310,4,FALSE)*'OPEB Amounts_Report'!$I$323,0)</f>
        <v>707772</v>
      </c>
      <c r="J280" s="70">
        <f>ROUND(VLOOKUP(A280,'Contribution Allocation_Report'!$A$9:$D$310,4,FALSE)*'OPEB Amounts_Report'!$J$323,0)</f>
        <v>127212</v>
      </c>
      <c r="K280" s="70">
        <f>ROUND(VLOOKUP(A280,'Contribution Allocation_Report'!$A$9:$D$310,4,FALSE)*'OPEB Amounts_Report'!$K$323,0)</f>
        <v>1604503</v>
      </c>
      <c r="L280" s="70">
        <f>INDEX('Change in Proportion Layers'!$AA$8:$AA$321,MATCH('OPEB Amounts_Report'!A280,'Change in Proportion Layers'!$A$8:$A$321,0))</f>
        <v>379165</v>
      </c>
      <c r="M280" s="70">
        <f t="shared" si="15"/>
        <v>2818652</v>
      </c>
      <c r="N280" s="71"/>
      <c r="O280" s="71">
        <f>ROUND(VLOOKUP(A280,'Contribution Allocation_Report'!$A$9:$D$310,4,FALSE)*'OPEB Amounts_Report'!$O$323,0)</f>
        <v>-477938</v>
      </c>
      <c r="P280" s="71">
        <f>INDEX('Change in Proportion Layers'!$X$8:$X$321,MATCH('OPEB Amounts_Report'!A280,'Change in Proportion Layers'!$A$8:$A$321,0))</f>
        <v>-67242</v>
      </c>
      <c r="Q280" s="71">
        <f t="shared" si="16"/>
        <v>-545180</v>
      </c>
    </row>
    <row r="281" spans="1:17" ht="12" customHeight="1">
      <c r="A281" s="254">
        <v>2750</v>
      </c>
      <c r="B281" s="255" t="s">
        <v>266</v>
      </c>
      <c r="C281" s="89">
        <f>ROUND(VLOOKUP(A281,'Contribution Allocation_Report'!$A$9:$D$310,4,FALSE)*'OPEB Amounts_Report'!$C$323,0)</f>
        <v>291854</v>
      </c>
      <c r="D281" s="89">
        <f>ROUND(VLOOKUP(A281,'Contribution Allocation_Report'!$A$9:$D$310,4,FALSE)*'OPEB Amounts_Report'!$D$323,0)</f>
        <v>4267</v>
      </c>
      <c r="E281" s="89">
        <f>ROUND(VLOOKUP(A281,'Contribution Allocation_Report'!$A$9:$D$310,4,FALSE)*'OPEB Amounts_Report'!$E$323,0)</f>
        <v>58432</v>
      </c>
      <c r="F281" s="89">
        <f>INDEX('Change in Proportion Layers'!$Z$8:$Z$321,MATCH('OPEB Amounts_Report'!A281,'Change in Proportion Layers'!$A$8:$A$321,0))</f>
        <v>14696</v>
      </c>
      <c r="G281" s="89">
        <f t="shared" si="14"/>
        <v>77395</v>
      </c>
      <c r="H281" s="89"/>
      <c r="I281" s="89">
        <f>ROUND(VLOOKUP(A281,'Contribution Allocation_Report'!$A$9:$D$310,4,FALSE)*'OPEB Amounts_Report'!$I$323,0)</f>
        <v>46545</v>
      </c>
      <c r="J281" s="89">
        <f>ROUND(VLOOKUP(A281,'Contribution Allocation_Report'!$A$9:$D$310,4,FALSE)*'OPEB Amounts_Report'!$J$323,0)</f>
        <v>8366</v>
      </c>
      <c r="K281" s="89">
        <f>ROUND(VLOOKUP(A281,'Contribution Allocation_Report'!$A$9:$D$310,4,FALSE)*'OPEB Amounts_Report'!$K$323,0)</f>
        <v>105516</v>
      </c>
      <c r="L281" s="89">
        <f>INDEX('Change in Proportion Layers'!$AA$8:$AA$321,MATCH('OPEB Amounts_Report'!A281,'Change in Proportion Layers'!$A$8:$A$321,0))</f>
        <v>52397</v>
      </c>
      <c r="M281" s="89">
        <f t="shared" si="15"/>
        <v>212824</v>
      </c>
      <c r="N281" s="90"/>
      <c r="O281" s="90">
        <f>ROUND(VLOOKUP(A281,'Contribution Allocation_Report'!$A$9:$D$310,4,FALSE)*'OPEB Amounts_Report'!$O$323,0)</f>
        <v>-31430</v>
      </c>
      <c r="P281" s="90">
        <f>INDEX('Change in Proportion Layers'!$X$8:$X$321,MATCH('OPEB Amounts_Report'!A281,'Change in Proportion Layers'!$A$8:$A$321,0))</f>
        <v>-10764</v>
      </c>
      <c r="Q281" s="90">
        <f t="shared" si="16"/>
        <v>-42194</v>
      </c>
    </row>
    <row r="282" spans="1:17" ht="12" customHeight="1">
      <c r="A282" s="62">
        <v>2770</v>
      </c>
      <c r="B282" s="66" t="s">
        <v>267</v>
      </c>
      <c r="C282" s="70">
        <f>ROUND(VLOOKUP(A282,'Contribution Allocation_Report'!$A$9:$D$310,4,FALSE)*'OPEB Amounts_Report'!$C$323,0)</f>
        <v>3415054</v>
      </c>
      <c r="D282" s="70">
        <f>ROUND(VLOOKUP(A282,'Contribution Allocation_Report'!$A$9:$D$310,4,FALSE)*'OPEB Amounts_Report'!$D$323,0)</f>
        <v>49933</v>
      </c>
      <c r="E282" s="70">
        <f>ROUND(VLOOKUP(A282,'Contribution Allocation_Report'!$A$9:$D$310,4,FALSE)*'OPEB Amounts_Report'!$E$323,0)</f>
        <v>683725</v>
      </c>
      <c r="F282" s="70">
        <f>INDEX('Change in Proportion Layers'!$Z$8:$Z$321,MATCH('OPEB Amounts_Report'!A282,'Change in Proportion Layers'!$A$8:$A$321,0))</f>
        <v>62062</v>
      </c>
      <c r="G282" s="70">
        <f t="shared" si="14"/>
        <v>795720</v>
      </c>
      <c r="H282" s="70"/>
      <c r="I282" s="70">
        <f>ROUND(VLOOKUP(A282,'Contribution Allocation_Report'!$A$9:$D$310,4,FALSE)*'OPEB Amounts_Report'!$I$323,0)</f>
        <v>544630</v>
      </c>
      <c r="J282" s="70">
        <f>ROUND(VLOOKUP(A282,'Contribution Allocation_Report'!$A$9:$D$310,4,FALSE)*'OPEB Amounts_Report'!$J$323,0)</f>
        <v>97890</v>
      </c>
      <c r="K282" s="70">
        <f>ROUND(VLOOKUP(A282,'Contribution Allocation_Report'!$A$9:$D$310,4,FALSE)*'OPEB Amounts_Report'!$K$323,0)</f>
        <v>1234663</v>
      </c>
      <c r="L282" s="70">
        <f>INDEX('Change in Proportion Layers'!$AA$8:$AA$321,MATCH('OPEB Amounts_Report'!A282,'Change in Proportion Layers'!$A$8:$A$321,0))</f>
        <v>900320</v>
      </c>
      <c r="M282" s="70">
        <f t="shared" si="15"/>
        <v>2777503</v>
      </c>
      <c r="N282" s="71"/>
      <c r="O282" s="71">
        <f>ROUND(VLOOKUP(A282,'Contribution Allocation_Report'!$A$9:$D$310,4,FALSE)*'OPEB Amounts_Report'!$O$323,0)</f>
        <v>-367773</v>
      </c>
      <c r="P282" s="71">
        <f>INDEX('Change in Proportion Layers'!$X$8:$X$321,MATCH('OPEB Amounts_Report'!A282,'Change in Proportion Layers'!$A$8:$A$321,0))</f>
        <v>-200936</v>
      </c>
      <c r="Q282" s="71">
        <f t="shared" si="16"/>
        <v>-568709</v>
      </c>
    </row>
    <row r="283" spans="1:17" ht="12" customHeight="1">
      <c r="A283" s="254">
        <v>32106</v>
      </c>
      <c r="B283" s="255" t="s">
        <v>268</v>
      </c>
      <c r="C283" s="89">
        <f>ROUND(VLOOKUP(A283,'Contribution Allocation_Report'!$A$9:$D$310,4,FALSE)*'OPEB Amounts_Report'!$C$323,0)</f>
        <v>527772</v>
      </c>
      <c r="D283" s="89">
        <f>ROUND(VLOOKUP(A283,'Contribution Allocation_Report'!$A$9:$D$310,4,FALSE)*'OPEB Amounts_Report'!$D$323,0)</f>
        <v>7717</v>
      </c>
      <c r="E283" s="89">
        <f>ROUND(VLOOKUP(A283,'Contribution Allocation_Report'!$A$9:$D$310,4,FALSE)*'OPEB Amounts_Report'!$E$323,0)</f>
        <v>105665</v>
      </c>
      <c r="F283" s="89">
        <f>INDEX('Change in Proportion Layers'!$Z$8:$Z$321,MATCH('OPEB Amounts_Report'!A283,'Change in Proportion Layers'!$A$8:$A$321,0))</f>
        <v>300331</v>
      </c>
      <c r="G283" s="89">
        <f t="shared" si="14"/>
        <v>413713</v>
      </c>
      <c r="H283" s="89"/>
      <c r="I283" s="89">
        <f>ROUND(VLOOKUP(A283,'Contribution Allocation_Report'!$A$9:$D$310,4,FALSE)*'OPEB Amounts_Report'!$I$323,0)</f>
        <v>84169</v>
      </c>
      <c r="J283" s="89">
        <f>ROUND(VLOOKUP(A283,'Contribution Allocation_Report'!$A$9:$D$310,4,FALSE)*'OPEB Amounts_Report'!$J$323,0)</f>
        <v>15128</v>
      </c>
      <c r="K283" s="89">
        <f>ROUND(VLOOKUP(A283,'Contribution Allocation_Report'!$A$9:$D$310,4,FALSE)*'OPEB Amounts_Report'!$K$323,0)</f>
        <v>190808</v>
      </c>
      <c r="L283" s="297">
        <f>INDEX('Change in Proportion Layers'!$AA$8:$AA$321,MATCH('OPEB Amounts_Report'!A283,'Change in Proportion Layers'!$A$8:$A$321,0))</f>
        <v>82364</v>
      </c>
      <c r="M283" s="89">
        <f t="shared" si="15"/>
        <v>372469</v>
      </c>
      <c r="N283" s="90"/>
      <c r="O283" s="90">
        <f>ROUND(VLOOKUP(A283,'Contribution Allocation_Report'!$A$9:$D$310,4,FALSE)*'OPEB Amounts_Report'!$O$323,0)</f>
        <v>-56837</v>
      </c>
      <c r="P283" s="90">
        <f>INDEX('Change in Proportion Layers'!$X$8:$X$321,MATCH('OPEB Amounts_Report'!A283,'Change in Proportion Layers'!$A$8:$A$321,0))</f>
        <v>73919</v>
      </c>
      <c r="Q283" s="90">
        <f t="shared" si="16"/>
        <v>17082</v>
      </c>
    </row>
    <row r="284" spans="1:17" ht="12" customHeight="1">
      <c r="A284" s="62">
        <v>4180</v>
      </c>
      <c r="B284" s="66" t="s">
        <v>269</v>
      </c>
      <c r="C284" s="70">
        <f>ROUND(VLOOKUP(A284,'Contribution Allocation_Report'!$A$9:$D$310,4,FALSE)*'OPEB Amounts_Report'!$C$323,0)</f>
        <v>518559</v>
      </c>
      <c r="D284" s="70">
        <f>ROUND(VLOOKUP(A284,'Contribution Allocation_Report'!$A$9:$D$310,4,FALSE)*'OPEB Amounts_Report'!$D$323,0)</f>
        <v>7582</v>
      </c>
      <c r="E284" s="70">
        <f>ROUND(VLOOKUP(A284,'Contribution Allocation_Report'!$A$9:$D$310,4,FALSE)*'OPEB Amounts_Report'!$E$323,0)</f>
        <v>103820</v>
      </c>
      <c r="F284" s="70">
        <f>INDEX('Change in Proportion Layers'!$Z$8:$Z$321,MATCH('OPEB Amounts_Report'!A284,'Change in Proportion Layers'!$A$8:$A$321,0))</f>
        <v>100797</v>
      </c>
      <c r="G284" s="70">
        <f t="shared" si="14"/>
        <v>212199</v>
      </c>
      <c r="H284" s="70"/>
      <c r="I284" s="70">
        <f>ROUND(VLOOKUP(A284,'Contribution Allocation_Report'!$A$9:$D$310,4,FALSE)*'OPEB Amounts_Report'!$I$323,0)</f>
        <v>82699</v>
      </c>
      <c r="J284" s="70">
        <f>ROUND(VLOOKUP(A284,'Contribution Allocation_Report'!$A$9:$D$310,4,FALSE)*'OPEB Amounts_Report'!$J$323,0)</f>
        <v>14864</v>
      </c>
      <c r="K284" s="70">
        <f>ROUND(VLOOKUP(A284,'Contribution Allocation_Report'!$A$9:$D$310,4,FALSE)*'OPEB Amounts_Report'!$K$323,0)</f>
        <v>187478</v>
      </c>
      <c r="L284" s="296">
        <f>INDEX('Change in Proportion Layers'!$AA$8:$AA$321,MATCH('OPEB Amounts_Report'!A284,'Change in Proportion Layers'!$A$8:$A$321,0))</f>
        <v>44925</v>
      </c>
      <c r="M284" s="70">
        <f t="shared" si="15"/>
        <v>329966</v>
      </c>
      <c r="N284" s="71"/>
      <c r="O284" s="71">
        <f>ROUND(VLOOKUP(A284,'Contribution Allocation_Report'!$A$9:$D$310,4,FALSE)*'OPEB Amounts_Report'!$O$323,0)</f>
        <v>-55844</v>
      </c>
      <c r="P284" s="71">
        <f>INDEX('Change in Proportion Layers'!$X$8:$X$321,MATCH('OPEB Amounts_Report'!A284,'Change in Proportion Layers'!$A$8:$A$321,0))</f>
        <v>11686</v>
      </c>
      <c r="Q284" s="71">
        <f t="shared" si="16"/>
        <v>-44158</v>
      </c>
    </row>
    <row r="285" spans="1:17" ht="12" customHeight="1">
      <c r="A285" s="254">
        <v>21063</v>
      </c>
      <c r="B285" s="255" t="s">
        <v>270</v>
      </c>
      <c r="C285" s="89">
        <f>ROUND(VLOOKUP(A285,'Contribution Allocation_Report'!$A$9:$D$310,4,FALSE)*'OPEB Amounts_Report'!$C$323,0)</f>
        <v>6155586</v>
      </c>
      <c r="D285" s="89">
        <f>ROUND(VLOOKUP(A285,'Contribution Allocation_Report'!$A$9:$D$310,4,FALSE)*'OPEB Amounts_Report'!$D$323,0)</f>
        <v>90003</v>
      </c>
      <c r="E285" s="89">
        <f>ROUND(VLOOKUP(A285,'Contribution Allocation_Report'!$A$9:$D$310,4,FALSE)*'OPEB Amounts_Report'!$E$323,0)</f>
        <v>1232405</v>
      </c>
      <c r="F285" s="89">
        <f>INDEX('Change in Proportion Layers'!$Z$8:$Z$321,MATCH('OPEB Amounts_Report'!A285,'Change in Proportion Layers'!$A$8:$A$321,0))</f>
        <v>284432</v>
      </c>
      <c r="G285" s="89">
        <f t="shared" si="14"/>
        <v>1606840</v>
      </c>
      <c r="H285" s="89"/>
      <c r="I285" s="89">
        <f>ROUND(VLOOKUP(A285,'Contribution Allocation_Report'!$A$9:$D$310,4,FALSE)*'OPEB Amounts_Report'!$I$323,0)</f>
        <v>981688</v>
      </c>
      <c r="J285" s="89">
        <f>ROUND(VLOOKUP(A285,'Contribution Allocation_Report'!$A$9:$D$310,4,FALSE)*'OPEB Amounts_Report'!$J$323,0)</f>
        <v>176445</v>
      </c>
      <c r="K285" s="89">
        <f>ROUND(VLOOKUP(A285,'Contribution Allocation_Report'!$A$9:$D$310,4,FALSE)*'OPEB Amounts_Report'!$K$323,0)</f>
        <v>2225463</v>
      </c>
      <c r="L285" s="89">
        <f>INDEX('Change in Proportion Layers'!$AA$8:$AA$321,MATCH('OPEB Amounts_Report'!A285,'Change in Proportion Layers'!$A$8:$A$321,0))</f>
        <v>335051</v>
      </c>
      <c r="M285" s="89">
        <f t="shared" si="15"/>
        <v>3718647</v>
      </c>
      <c r="N285" s="90"/>
      <c r="O285" s="90">
        <f>ROUND(VLOOKUP(A285,'Contribution Allocation_Report'!$A$9:$D$310,4,FALSE)*'OPEB Amounts_Report'!$O$323,0)</f>
        <v>-662905</v>
      </c>
      <c r="P285" s="90">
        <f>INDEX('Change in Proportion Layers'!$X$8:$X$321,MATCH('OPEB Amounts_Report'!A285,'Change in Proportion Layers'!$A$8:$A$321,0))</f>
        <v>-79348</v>
      </c>
      <c r="Q285" s="90">
        <f t="shared" si="16"/>
        <v>-742253</v>
      </c>
    </row>
    <row r="286" spans="1:17" ht="12" customHeight="1">
      <c r="A286" s="62">
        <v>10033</v>
      </c>
      <c r="B286" s="66" t="s">
        <v>271</v>
      </c>
      <c r="C286" s="70">
        <f>ROUND(VLOOKUP(A286,'Contribution Allocation_Report'!$A$9:$D$310,4,FALSE)*'OPEB Amounts_Report'!$C$323,0)</f>
        <v>4361359</v>
      </c>
      <c r="D286" s="70">
        <f>ROUND(VLOOKUP(A286,'Contribution Allocation_Report'!$A$9:$D$310,4,FALSE)*'OPEB Amounts_Report'!$D$323,0)</f>
        <v>63769</v>
      </c>
      <c r="E286" s="70">
        <f>ROUND(VLOOKUP(A286,'Contribution Allocation_Report'!$A$9:$D$310,4,FALSE)*'OPEB Amounts_Report'!$E$323,0)</f>
        <v>873184</v>
      </c>
      <c r="F286" s="70">
        <f>INDEX('Change in Proportion Layers'!$Z$8:$Z$321,MATCH('OPEB Amounts_Report'!A286,'Change in Proportion Layers'!$A$8:$A$321,0))</f>
        <v>129871</v>
      </c>
      <c r="G286" s="70">
        <f t="shared" si="14"/>
        <v>1066824</v>
      </c>
      <c r="H286" s="70"/>
      <c r="I286" s="70">
        <f>ROUND(VLOOKUP(A286,'Contribution Allocation_Report'!$A$9:$D$310,4,FALSE)*'OPEB Amounts_Report'!$I$323,0)</f>
        <v>695546</v>
      </c>
      <c r="J286" s="70">
        <f>ROUND(VLOOKUP(A286,'Contribution Allocation_Report'!$A$9:$D$310,4,FALSE)*'OPEB Amounts_Report'!$J$323,0)</f>
        <v>125015</v>
      </c>
      <c r="K286" s="70">
        <f>ROUND(VLOOKUP(A286,'Contribution Allocation_Report'!$A$9:$D$310,4,FALSE)*'OPEB Amounts_Report'!$K$323,0)</f>
        <v>1576786</v>
      </c>
      <c r="L286" s="70">
        <f>INDEX('Change in Proportion Layers'!$AA$8:$AA$321,MATCH('OPEB Amounts_Report'!A286,'Change in Proportion Layers'!$A$8:$A$321,0))</f>
        <v>156089</v>
      </c>
      <c r="M286" s="70">
        <f t="shared" si="15"/>
        <v>2553436</v>
      </c>
      <c r="N286" s="71"/>
      <c r="O286" s="71">
        <f>ROUND(VLOOKUP(A286,'Contribution Allocation_Report'!$A$9:$D$310,4,FALSE)*'OPEB Amounts_Report'!$O$323,0)</f>
        <v>-469682</v>
      </c>
      <c r="P286" s="71">
        <f>INDEX('Change in Proportion Layers'!$X$8:$X$321,MATCH('OPEB Amounts_Report'!A286,'Change in Proportion Layers'!$A$8:$A$321,0))</f>
        <v>-22545</v>
      </c>
      <c r="Q286" s="71">
        <f t="shared" si="16"/>
        <v>-492227</v>
      </c>
    </row>
    <row r="287" spans="1:17" ht="12" customHeight="1">
      <c r="A287" s="254">
        <v>15049</v>
      </c>
      <c r="B287" s="255" t="s">
        <v>272</v>
      </c>
      <c r="C287" s="89">
        <f>ROUND(VLOOKUP(A287,'Contribution Allocation_Report'!$A$9:$D$310,4,FALSE)*'OPEB Amounts_Report'!$C$323,0)</f>
        <v>4351817</v>
      </c>
      <c r="D287" s="89">
        <f>ROUND(VLOOKUP(A287,'Contribution Allocation_Report'!$A$9:$D$310,4,FALSE)*'OPEB Amounts_Report'!$D$323,0)</f>
        <v>63629</v>
      </c>
      <c r="E287" s="89">
        <f>ROUND(VLOOKUP(A287,'Contribution Allocation_Report'!$A$9:$D$310,4,FALSE)*'OPEB Amounts_Report'!$E$323,0)</f>
        <v>871274</v>
      </c>
      <c r="F287" s="89">
        <f>INDEX('Change in Proportion Layers'!$Z$8:$Z$321,MATCH('OPEB Amounts_Report'!A287,'Change in Proportion Layers'!$A$8:$A$321,0))</f>
        <v>0</v>
      </c>
      <c r="G287" s="89">
        <f t="shared" si="14"/>
        <v>934903</v>
      </c>
      <c r="H287" s="89"/>
      <c r="I287" s="89">
        <f>ROUND(VLOOKUP(A287,'Contribution Allocation_Report'!$A$9:$D$310,4,FALSE)*'OPEB Amounts_Report'!$I$323,0)</f>
        <v>694024</v>
      </c>
      <c r="J287" s="89">
        <f>ROUND(VLOOKUP(A287,'Contribution Allocation_Report'!$A$9:$D$310,4,FALSE)*'OPEB Amounts_Report'!$J$323,0)</f>
        <v>124741</v>
      </c>
      <c r="K287" s="89">
        <f>ROUND(VLOOKUP(A287,'Contribution Allocation_Report'!$A$9:$D$310,4,FALSE)*'OPEB Amounts_Report'!$K$323,0)</f>
        <v>1573336</v>
      </c>
      <c r="L287" s="297">
        <f>INDEX('Change in Proportion Layers'!$AA$8:$AA$321,MATCH('OPEB Amounts_Report'!A287,'Change in Proportion Layers'!$A$8:$A$321,0))</f>
        <v>168137</v>
      </c>
      <c r="M287" s="89">
        <f t="shared" si="15"/>
        <v>2560238</v>
      </c>
      <c r="N287" s="90"/>
      <c r="O287" s="90">
        <f>ROUND(VLOOKUP(A287,'Contribution Allocation_Report'!$A$9:$D$310,4,FALSE)*'OPEB Amounts_Report'!$O$323,0)</f>
        <v>-468654</v>
      </c>
      <c r="P287" s="90">
        <f>INDEX('Change in Proportion Layers'!$X$8:$X$321,MATCH('OPEB Amounts_Report'!A287,'Change in Proportion Layers'!$A$8:$A$321,0))</f>
        <v>-71849</v>
      </c>
      <c r="Q287" s="90">
        <f t="shared" si="16"/>
        <v>-540503</v>
      </c>
    </row>
    <row r="288" spans="1:17" ht="12" customHeight="1">
      <c r="A288" s="62">
        <v>1315</v>
      </c>
      <c r="B288" s="66" t="s">
        <v>273</v>
      </c>
      <c r="C288" s="70">
        <f>ROUND(VLOOKUP(A288,'Contribution Allocation_Report'!$A$9:$D$310,4,FALSE)*'OPEB Amounts_Report'!$C$323,0)</f>
        <v>2519750</v>
      </c>
      <c r="D288" s="70">
        <f>ROUND(VLOOKUP(A288,'Contribution Allocation_Report'!$A$9:$D$310,4,FALSE)*'OPEB Amounts_Report'!$D$323,0)</f>
        <v>36842</v>
      </c>
      <c r="E288" s="70">
        <f>ROUND(VLOOKUP(A288,'Contribution Allocation_Report'!$A$9:$D$310,4,FALSE)*'OPEB Amounts_Report'!$E$323,0)</f>
        <v>504477</v>
      </c>
      <c r="F288" s="70">
        <f>INDEX('Change in Proportion Layers'!$Z$8:$Z$321,MATCH('OPEB Amounts_Report'!A288,'Change in Proportion Layers'!$A$8:$A$321,0))</f>
        <v>736603</v>
      </c>
      <c r="G288" s="70">
        <f t="shared" si="14"/>
        <v>1277922</v>
      </c>
      <c r="H288" s="70"/>
      <c r="I288" s="70">
        <f>ROUND(VLOOKUP(A288,'Contribution Allocation_Report'!$A$9:$D$310,4,FALSE)*'OPEB Amounts_Report'!$I$323,0)</f>
        <v>401848</v>
      </c>
      <c r="J288" s="70">
        <f>ROUND(VLOOKUP(A288,'Contribution Allocation_Report'!$A$9:$D$310,4,FALSE)*'OPEB Amounts_Report'!$J$323,0)</f>
        <v>72226</v>
      </c>
      <c r="K288" s="70">
        <f>ROUND(VLOOKUP(A288,'Contribution Allocation_Report'!$A$9:$D$310,4,FALSE)*'OPEB Amounts_Report'!$K$323,0)</f>
        <v>910979</v>
      </c>
      <c r="L288" s="296">
        <f>INDEX('Change in Proportion Layers'!$AA$8:$AA$321,MATCH('OPEB Amounts_Report'!A288,'Change in Proportion Layers'!$A$8:$A$321,0))</f>
        <v>0</v>
      </c>
      <c r="M288" s="70">
        <f t="shared" si="15"/>
        <v>1385053</v>
      </c>
      <c r="N288" s="71"/>
      <c r="O288" s="71">
        <f>ROUND(VLOOKUP(A288,'Contribution Allocation_Report'!$A$9:$D$310,4,FALSE)*'OPEB Amounts_Report'!$O$323,0)</f>
        <v>-271356</v>
      </c>
      <c r="P288" s="71">
        <f>INDEX('Change in Proportion Layers'!$X$8:$X$321,MATCH('OPEB Amounts_Report'!A288,'Change in Proportion Layers'!$A$8:$A$321,0))</f>
        <v>224151</v>
      </c>
      <c r="Q288" s="71">
        <f t="shared" si="16"/>
        <v>-47205</v>
      </c>
    </row>
    <row r="289" spans="1:17" ht="12" customHeight="1">
      <c r="A289" s="254">
        <v>3340</v>
      </c>
      <c r="B289" s="255" t="s">
        <v>274</v>
      </c>
      <c r="C289" s="89">
        <f>ROUND(VLOOKUP(A289,'Contribution Allocation_Report'!$A$9:$D$310,4,FALSE)*'OPEB Amounts_Report'!$C$323,0)</f>
        <v>1125629</v>
      </c>
      <c r="D289" s="89">
        <f>ROUND(VLOOKUP(A289,'Contribution Allocation_Report'!$A$9:$D$310,4,FALSE)*'OPEB Amounts_Report'!$D$323,0)</f>
        <v>16458</v>
      </c>
      <c r="E289" s="89">
        <f>ROUND(VLOOKUP(A289,'Contribution Allocation_Report'!$A$9:$D$310,4,FALSE)*'OPEB Amounts_Report'!$E$323,0)</f>
        <v>225361</v>
      </c>
      <c r="F289" s="89">
        <f>INDEX('Change in Proportion Layers'!$Z$8:$Z$321,MATCH('OPEB Amounts_Report'!A289,'Change in Proportion Layers'!$A$8:$A$321,0))</f>
        <v>113371</v>
      </c>
      <c r="G289" s="89">
        <f t="shared" si="14"/>
        <v>355190</v>
      </c>
      <c r="H289" s="89"/>
      <c r="I289" s="89">
        <f>ROUND(VLOOKUP(A289,'Contribution Allocation_Report'!$A$9:$D$310,4,FALSE)*'OPEB Amounts_Report'!$I$323,0)</f>
        <v>179514</v>
      </c>
      <c r="J289" s="89">
        <f>ROUND(VLOOKUP(A289,'Contribution Allocation_Report'!$A$9:$D$310,4,FALSE)*'OPEB Amounts_Report'!$J$323,0)</f>
        <v>32265</v>
      </c>
      <c r="K289" s="89">
        <f>ROUND(VLOOKUP(A289,'Contribution Allocation_Report'!$A$9:$D$310,4,FALSE)*'OPEB Amounts_Report'!$K$323,0)</f>
        <v>406955</v>
      </c>
      <c r="L289" s="89">
        <f>INDEX('Change in Proportion Layers'!$AA$8:$AA$321,MATCH('OPEB Amounts_Report'!A289,'Change in Proportion Layers'!$A$8:$A$321,0))</f>
        <v>160426</v>
      </c>
      <c r="M289" s="89">
        <f t="shared" si="15"/>
        <v>779160</v>
      </c>
      <c r="N289" s="90"/>
      <c r="O289" s="90">
        <f>ROUND(VLOOKUP(A289,'Contribution Allocation_Report'!$A$9:$D$310,4,FALSE)*'OPEB Amounts_Report'!$O$323,0)</f>
        <v>-121221</v>
      </c>
      <c r="P289" s="90">
        <f>INDEX('Change in Proportion Layers'!$X$8:$X$321,MATCH('OPEB Amounts_Report'!A289,'Change in Proportion Layers'!$A$8:$A$321,0))</f>
        <v>-19995</v>
      </c>
      <c r="Q289" s="90">
        <f t="shared" si="16"/>
        <v>-141216</v>
      </c>
    </row>
    <row r="290" spans="1:17" ht="12" customHeight="1">
      <c r="A290" s="62">
        <v>3350</v>
      </c>
      <c r="B290" s="66" t="s">
        <v>275</v>
      </c>
      <c r="C290" s="70">
        <f>ROUND(VLOOKUP(A290,'Contribution Allocation_Report'!$A$9:$D$310,4,FALSE)*'OPEB Amounts_Report'!$C$323,0)</f>
        <v>5601491</v>
      </c>
      <c r="D290" s="70">
        <f>ROUND(VLOOKUP(A290,'Contribution Allocation_Report'!$A$9:$D$310,4,FALSE)*'OPEB Amounts_Report'!$D$323,0)</f>
        <v>81901</v>
      </c>
      <c r="E290" s="70">
        <f>ROUND(VLOOKUP(A290,'Contribution Allocation_Report'!$A$9:$D$310,4,FALSE)*'OPEB Amounts_Report'!$E$323,0)</f>
        <v>1121470</v>
      </c>
      <c r="F290" s="70">
        <f>INDEX('Change in Proportion Layers'!$Z$8:$Z$321,MATCH('OPEB Amounts_Report'!A290,'Change in Proportion Layers'!$A$8:$A$321,0))</f>
        <v>46001</v>
      </c>
      <c r="G290" s="70">
        <f t="shared" si="14"/>
        <v>1249372</v>
      </c>
      <c r="H290" s="70"/>
      <c r="I290" s="70">
        <f>ROUND(VLOOKUP(A290,'Contribution Allocation_Report'!$A$9:$D$310,4,FALSE)*'OPEB Amounts_Report'!$I$323,0)</f>
        <v>893321</v>
      </c>
      <c r="J290" s="70">
        <f>ROUND(VLOOKUP(A290,'Contribution Allocation_Report'!$A$9:$D$310,4,FALSE)*'OPEB Amounts_Report'!$J$323,0)</f>
        <v>160562</v>
      </c>
      <c r="K290" s="70">
        <f>ROUND(VLOOKUP(A290,'Contribution Allocation_Report'!$A$9:$D$310,4,FALSE)*'OPEB Amounts_Report'!$K$323,0)</f>
        <v>2025138</v>
      </c>
      <c r="L290" s="70">
        <f>INDEX('Change in Proportion Layers'!$AA$8:$AA$321,MATCH('OPEB Amounts_Report'!A290,'Change in Proportion Layers'!$A$8:$A$321,0))</f>
        <v>2144105</v>
      </c>
      <c r="M290" s="70">
        <f t="shared" si="15"/>
        <v>5223126</v>
      </c>
      <c r="N290" s="71"/>
      <c r="O290" s="71">
        <f>ROUND(VLOOKUP(A290,'Contribution Allocation_Report'!$A$9:$D$310,4,FALSE)*'OPEB Amounts_Report'!$O$323,0)</f>
        <v>-603234</v>
      </c>
      <c r="P290" s="71">
        <f>INDEX('Change in Proportion Layers'!$X$8:$X$321,MATCH('OPEB Amounts_Report'!A290,'Change in Proportion Layers'!$A$8:$A$321,0))</f>
        <v>-513856</v>
      </c>
      <c r="Q290" s="71">
        <f t="shared" si="16"/>
        <v>-1117090</v>
      </c>
    </row>
    <row r="291" spans="1:17" ht="12" customHeight="1">
      <c r="A291" s="254">
        <v>24073</v>
      </c>
      <c r="B291" s="255" t="s">
        <v>276</v>
      </c>
      <c r="C291" s="89">
        <f>ROUND(VLOOKUP(A291,'Contribution Allocation_Report'!$A$9:$D$310,4,FALSE)*'OPEB Amounts_Report'!$C$323,0)</f>
        <v>783761</v>
      </c>
      <c r="D291" s="89">
        <f>ROUND(VLOOKUP(A291,'Contribution Allocation_Report'!$A$9:$D$310,4,FALSE)*'OPEB Amounts_Report'!$D$323,0)</f>
        <v>11460</v>
      </c>
      <c r="E291" s="89">
        <f>ROUND(VLOOKUP(A291,'Contribution Allocation_Report'!$A$9:$D$310,4,FALSE)*'OPEB Amounts_Report'!$E$323,0)</f>
        <v>156916</v>
      </c>
      <c r="F291" s="89">
        <f>INDEX('Change in Proportion Layers'!$Z$8:$Z$321,MATCH('OPEB Amounts_Report'!A291,'Change in Proportion Layers'!$A$8:$A$321,0))</f>
        <v>85497</v>
      </c>
      <c r="G291" s="89">
        <f t="shared" si="14"/>
        <v>253873</v>
      </c>
      <c r="H291" s="89"/>
      <c r="I291" s="89">
        <f>ROUND(VLOOKUP(A291,'Contribution Allocation_Report'!$A$9:$D$310,4,FALSE)*'OPEB Amounts_Report'!$I$323,0)</f>
        <v>124994</v>
      </c>
      <c r="J291" s="89">
        <f>ROUND(VLOOKUP(A291,'Contribution Allocation_Report'!$A$9:$D$310,4,FALSE)*'OPEB Amounts_Report'!$J$323,0)</f>
        <v>22466</v>
      </c>
      <c r="K291" s="89">
        <f>ROUND(VLOOKUP(A291,'Contribution Allocation_Report'!$A$9:$D$310,4,FALSE)*'OPEB Amounts_Report'!$K$323,0)</f>
        <v>283358</v>
      </c>
      <c r="L291" s="89">
        <f>INDEX('Change in Proportion Layers'!$AA$8:$AA$321,MATCH('OPEB Amounts_Report'!A291,'Change in Proportion Layers'!$A$8:$A$321,0))</f>
        <v>31281</v>
      </c>
      <c r="M291" s="89">
        <f t="shared" si="15"/>
        <v>462099</v>
      </c>
      <c r="N291" s="90"/>
      <c r="O291" s="90">
        <f>ROUND(VLOOKUP(A291,'Contribution Allocation_Report'!$A$9:$D$310,4,FALSE)*'OPEB Amounts_Report'!$O$323,0)</f>
        <v>-84405</v>
      </c>
      <c r="P291" s="90">
        <f>INDEX('Change in Proportion Layers'!$X$8:$X$321,MATCH('OPEB Amounts_Report'!A291,'Change in Proportion Layers'!$A$8:$A$321,0))</f>
        <v>3451</v>
      </c>
      <c r="Q291" s="90">
        <f t="shared" si="16"/>
        <v>-80954</v>
      </c>
    </row>
    <row r="292" spans="1:17" ht="12" customHeight="1">
      <c r="A292" s="62">
        <v>2100</v>
      </c>
      <c r="B292" s="66" t="s">
        <v>277</v>
      </c>
      <c r="C292" s="70">
        <f>ROUND(VLOOKUP(A292,'Contribution Allocation_Report'!$A$9:$D$310,4,FALSE)*'OPEB Amounts_Report'!$C$323,0)</f>
        <v>950582</v>
      </c>
      <c r="D292" s="70">
        <f>ROUND(VLOOKUP(A292,'Contribution Allocation_Report'!$A$9:$D$310,4,FALSE)*'OPEB Amounts_Report'!$D$323,0)</f>
        <v>13899</v>
      </c>
      <c r="E292" s="70">
        <f>ROUND(VLOOKUP(A292,'Contribution Allocation_Report'!$A$9:$D$310,4,FALSE)*'OPEB Amounts_Report'!$E$323,0)</f>
        <v>190315</v>
      </c>
      <c r="F292" s="70">
        <f>INDEX('Change in Proportion Layers'!$Z$8:$Z$321,MATCH('OPEB Amounts_Report'!A292,'Change in Proportion Layers'!$A$8:$A$321,0))</f>
        <v>45603</v>
      </c>
      <c r="G292" s="70">
        <f t="shared" si="14"/>
        <v>249817</v>
      </c>
      <c r="H292" s="70"/>
      <c r="I292" s="70">
        <f>ROUND(VLOOKUP(A292,'Contribution Allocation_Report'!$A$9:$D$310,4,FALSE)*'OPEB Amounts_Report'!$I$323,0)</f>
        <v>151598</v>
      </c>
      <c r="J292" s="70">
        <f>ROUND(VLOOKUP(A292,'Contribution Allocation_Report'!$A$9:$D$310,4,FALSE)*'OPEB Amounts_Report'!$J$323,0)</f>
        <v>27248</v>
      </c>
      <c r="K292" s="70">
        <f>ROUND(VLOOKUP(A292,'Contribution Allocation_Report'!$A$9:$D$310,4,FALSE)*'OPEB Amounts_Report'!$K$323,0)</f>
        <v>343669</v>
      </c>
      <c r="L292" s="70">
        <f>INDEX('Change in Proportion Layers'!$AA$8:$AA$321,MATCH('OPEB Amounts_Report'!A292,'Change in Proportion Layers'!$A$8:$A$321,0))</f>
        <v>65673</v>
      </c>
      <c r="M292" s="70">
        <f t="shared" si="15"/>
        <v>588188</v>
      </c>
      <c r="N292" s="71"/>
      <c r="O292" s="71">
        <f>ROUND(VLOOKUP(A292,'Contribution Allocation_Report'!$A$9:$D$310,4,FALSE)*'OPEB Amounts_Report'!$O$323,0)</f>
        <v>-102370</v>
      </c>
      <c r="P292" s="71">
        <f>INDEX('Change in Proportion Layers'!$X$8:$X$321,MATCH('OPEB Amounts_Report'!A292,'Change in Proportion Layers'!$A$8:$A$321,0))</f>
        <v>-2168</v>
      </c>
      <c r="Q292" s="71">
        <f t="shared" si="16"/>
        <v>-104538</v>
      </c>
    </row>
    <row r="293" spans="1:17" ht="12" customHeight="1">
      <c r="A293" s="254">
        <v>2130</v>
      </c>
      <c r="B293" s="255" t="s">
        <v>278</v>
      </c>
      <c r="C293" s="89">
        <f>ROUND(VLOOKUP(A293,'Contribution Allocation_Report'!$A$9:$D$310,4,FALSE)*'OPEB Amounts_Report'!$C$323,0)</f>
        <v>312254</v>
      </c>
      <c r="D293" s="89">
        <f>ROUND(VLOOKUP(A293,'Contribution Allocation_Report'!$A$9:$D$310,4,FALSE)*'OPEB Amounts_Report'!$D$323,0)</f>
        <v>4566</v>
      </c>
      <c r="E293" s="89">
        <f>ROUND(VLOOKUP(A293,'Contribution Allocation_Report'!$A$9:$D$310,4,FALSE)*'OPEB Amounts_Report'!$E$323,0)</f>
        <v>62516</v>
      </c>
      <c r="F293" s="89">
        <f>INDEX('Change in Proportion Layers'!$Z$8:$Z$321,MATCH('OPEB Amounts_Report'!A293,'Change in Proportion Layers'!$A$8:$A$321,0))</f>
        <v>38333</v>
      </c>
      <c r="G293" s="89">
        <f t="shared" si="14"/>
        <v>105415</v>
      </c>
      <c r="H293" s="89"/>
      <c r="I293" s="89">
        <f>ROUND(VLOOKUP(A293,'Contribution Allocation_Report'!$A$9:$D$310,4,FALSE)*'OPEB Amounts_Report'!$I$323,0)</f>
        <v>49798</v>
      </c>
      <c r="J293" s="89">
        <f>ROUND(VLOOKUP(A293,'Contribution Allocation_Report'!$A$9:$D$310,4,FALSE)*'OPEB Amounts_Report'!$J$323,0)</f>
        <v>8951</v>
      </c>
      <c r="K293" s="89">
        <f>ROUND(VLOOKUP(A293,'Contribution Allocation_Report'!$A$9:$D$310,4,FALSE)*'OPEB Amounts_Report'!$K$323,0)</f>
        <v>112891</v>
      </c>
      <c r="L293" s="297">
        <f>INDEX('Change in Proportion Layers'!$AA$8:$AA$321,MATCH('OPEB Amounts_Report'!A293,'Change in Proportion Layers'!$A$8:$A$321,0))</f>
        <v>57990</v>
      </c>
      <c r="M293" s="89">
        <f t="shared" si="15"/>
        <v>229630</v>
      </c>
      <c r="N293" s="90"/>
      <c r="O293" s="90">
        <f>ROUND(VLOOKUP(A293,'Contribution Allocation_Report'!$A$9:$D$310,4,FALSE)*'OPEB Amounts_Report'!$O$323,0)</f>
        <v>-33627</v>
      </c>
      <c r="P293" s="90">
        <f>INDEX('Change in Proportion Layers'!$X$8:$X$321,MATCH('OPEB Amounts_Report'!A293,'Change in Proportion Layers'!$A$8:$A$321,0))</f>
        <v>-1279</v>
      </c>
      <c r="Q293" s="90">
        <f t="shared" si="16"/>
        <v>-34906</v>
      </c>
    </row>
    <row r="294" spans="1:17" s="181" customFormat="1" ht="12" customHeight="1">
      <c r="A294" s="62">
        <v>32099</v>
      </c>
      <c r="B294" s="66" t="s">
        <v>279</v>
      </c>
      <c r="C294" s="70">
        <f>ROUND(VLOOKUP(A294,'Contribution Allocation_Report'!$A$9:$D$310,4,FALSE)*'OPEB Amounts_Report'!$C$323,0)</f>
        <v>313241</v>
      </c>
      <c r="D294" s="70">
        <f>ROUND(VLOOKUP(A294,'Contribution Allocation_Report'!$A$9:$D$310,4,FALSE)*'OPEB Amounts_Report'!$D$323,0)</f>
        <v>4580</v>
      </c>
      <c r="E294" s="70">
        <f>ROUND(VLOOKUP(A294,'Contribution Allocation_Report'!$A$9:$D$310,4,FALSE)*'OPEB Amounts_Report'!$E$323,0)</f>
        <v>62714</v>
      </c>
      <c r="F294" s="70">
        <f>INDEX('Change in Proportion Layers'!$Z$8:$Z$321,MATCH('OPEB Amounts_Report'!A294,'Change in Proportion Layers'!$A$8:$A$321,0))</f>
        <v>9680</v>
      </c>
      <c r="G294" s="70">
        <f t="shared" si="14"/>
        <v>76974</v>
      </c>
      <c r="H294" s="70"/>
      <c r="I294" s="70">
        <f>ROUND(VLOOKUP(A294,'Contribution Allocation_Report'!$A$9:$D$310,4,FALSE)*'OPEB Amounts_Report'!$I$323,0)</f>
        <v>49955</v>
      </c>
      <c r="J294" s="70">
        <f>ROUND(VLOOKUP(A294,'Contribution Allocation_Report'!$A$9:$D$310,4,FALSE)*'OPEB Amounts_Report'!$J$323,0)</f>
        <v>8979</v>
      </c>
      <c r="K294" s="70">
        <f>ROUND(VLOOKUP(A294,'Contribution Allocation_Report'!$A$9:$D$310,4,FALSE)*'OPEB Amounts_Report'!$K$323,0)</f>
        <v>113248</v>
      </c>
      <c r="L294" s="296">
        <f>INDEX('Change in Proportion Layers'!$AA$8:$AA$321,MATCH('OPEB Amounts_Report'!A294,'Change in Proportion Layers'!$A$8:$A$321,0))</f>
        <v>86773</v>
      </c>
      <c r="M294" s="70">
        <f t="shared" si="15"/>
        <v>258955</v>
      </c>
      <c r="N294" s="71"/>
      <c r="O294" s="71">
        <f>ROUND(VLOOKUP(A294,'Contribution Allocation_Report'!$A$9:$D$310,4,FALSE)*'OPEB Amounts_Report'!$O$323,0)</f>
        <v>-33733</v>
      </c>
      <c r="P294" s="71">
        <f>INDEX('Change in Proportion Layers'!$X$8:$X$321,MATCH('OPEB Amounts_Report'!A294,'Change in Proportion Layers'!$A$8:$A$321,0))</f>
        <v>-23799</v>
      </c>
      <c r="Q294" s="71">
        <f t="shared" si="16"/>
        <v>-57532</v>
      </c>
    </row>
    <row r="295" spans="1:17" s="181" customFormat="1" ht="12" customHeight="1">
      <c r="A295" s="254">
        <v>32100</v>
      </c>
      <c r="B295" s="255" t="s">
        <v>280</v>
      </c>
      <c r="C295" s="89">
        <f>ROUND(VLOOKUP(A295,'Contribution Allocation_Report'!$A$9:$D$310,4,FALSE)*'OPEB Amounts_Report'!$C$323,0)</f>
        <v>694264</v>
      </c>
      <c r="D295" s="89">
        <f>ROUND(VLOOKUP(A295,'Contribution Allocation_Report'!$A$9:$D$310,4,FALSE)*'OPEB Amounts_Report'!$D$323,0)</f>
        <v>10151</v>
      </c>
      <c r="E295" s="89">
        <f>ROUND(VLOOKUP(A295,'Contribution Allocation_Report'!$A$9:$D$310,4,FALSE)*'OPEB Amounts_Report'!$E$323,0)</f>
        <v>138998</v>
      </c>
      <c r="F295" s="89">
        <f>INDEX('Change in Proportion Layers'!$Z$8:$Z$321,MATCH('OPEB Amounts_Report'!A295,'Change in Proportion Layers'!$A$8:$A$321,0))</f>
        <v>105715</v>
      </c>
      <c r="G295" s="89">
        <f t="shared" si="14"/>
        <v>254864</v>
      </c>
      <c r="H295" s="89"/>
      <c r="I295" s="89">
        <f>ROUND(VLOOKUP(A295,'Contribution Allocation_Report'!$A$9:$D$310,4,FALSE)*'OPEB Amounts_Report'!$I$323,0)</f>
        <v>110721</v>
      </c>
      <c r="J295" s="89">
        <f>ROUND(VLOOKUP(A295,'Contribution Allocation_Report'!$A$9:$D$310,4,FALSE)*'OPEB Amounts_Report'!$J$323,0)</f>
        <v>19900</v>
      </c>
      <c r="K295" s="89">
        <f>ROUND(VLOOKUP(A295,'Contribution Allocation_Report'!$A$9:$D$310,4,FALSE)*'OPEB Amounts_Report'!$K$323,0)</f>
        <v>251001</v>
      </c>
      <c r="L295" s="297">
        <f>INDEX('Change in Proportion Layers'!$AA$8:$AA$321,MATCH('OPEB Amounts_Report'!A295,'Change in Proportion Layers'!$A$8:$A$321,0))</f>
        <v>64251</v>
      </c>
      <c r="M295" s="89">
        <f t="shared" si="15"/>
        <v>445873</v>
      </c>
      <c r="N295" s="90"/>
      <c r="O295" s="90">
        <f>ROUND(VLOOKUP(A295,'Contribution Allocation_Report'!$A$9:$D$310,4,FALSE)*'OPEB Amounts_Report'!$O$323,0)</f>
        <v>-74766</v>
      </c>
      <c r="P295" s="90">
        <f>INDEX('Change in Proportion Layers'!$X$8:$X$321,MATCH('OPEB Amounts_Report'!A295,'Change in Proportion Layers'!$A$8:$A$321,0))</f>
        <v>22988</v>
      </c>
      <c r="Q295" s="90">
        <f t="shared" si="16"/>
        <v>-51778</v>
      </c>
    </row>
    <row r="296" spans="1:17" s="181" customFormat="1" ht="12" customHeight="1">
      <c r="A296" s="62">
        <v>32101</v>
      </c>
      <c r="B296" s="66" t="s">
        <v>281</v>
      </c>
      <c r="C296" s="70">
        <f>ROUND(VLOOKUP(A296,'Contribution Allocation_Report'!$A$9:$D$310,4,FALSE)*'OPEB Amounts_Report'!$C$323,0)</f>
        <v>34220</v>
      </c>
      <c r="D296" s="70">
        <f>ROUND(VLOOKUP(A296,'Contribution Allocation_Report'!$A$9:$D$310,4,FALSE)*'OPEB Amounts_Report'!$D$323,0)</f>
        <v>500</v>
      </c>
      <c r="E296" s="70">
        <f>ROUND(VLOOKUP(A296,'Contribution Allocation_Report'!$A$9:$D$310,4,FALSE)*'OPEB Amounts_Report'!$E$323,0)</f>
        <v>6851</v>
      </c>
      <c r="F296" s="70">
        <f>INDEX('Change in Proportion Layers'!$Z$8:$Z$321,MATCH('OPEB Amounts_Report'!A296,'Change in Proportion Layers'!$A$8:$A$321,0))</f>
        <v>14344</v>
      </c>
      <c r="G296" s="70">
        <f t="shared" si="14"/>
        <v>21695</v>
      </c>
      <c r="H296" s="70"/>
      <c r="I296" s="70">
        <f>ROUND(VLOOKUP(A296,'Contribution Allocation_Report'!$A$9:$D$310,4,FALSE)*'OPEB Amounts_Report'!$I$323,0)</f>
        <v>5457</v>
      </c>
      <c r="J296" s="70">
        <f>ROUND(VLOOKUP(A296,'Contribution Allocation_Report'!$A$9:$D$310,4,FALSE)*'OPEB Amounts_Report'!$J$323,0)</f>
        <v>981</v>
      </c>
      <c r="K296" s="70">
        <f>ROUND(VLOOKUP(A296,'Contribution Allocation_Report'!$A$9:$D$310,4,FALSE)*'OPEB Amounts_Report'!$K$323,0)</f>
        <v>12372</v>
      </c>
      <c r="L296" s="296">
        <f>INDEX('Change in Proportion Layers'!$AA$8:$AA$321,MATCH('OPEB Amounts_Report'!A296,'Change in Proportion Layers'!$A$8:$A$321,0))</f>
        <v>239113</v>
      </c>
      <c r="M296" s="70">
        <f t="shared" si="15"/>
        <v>257923</v>
      </c>
      <c r="N296" s="71"/>
      <c r="O296" s="71">
        <f>ROUND(VLOOKUP(A296,'Contribution Allocation_Report'!$A$9:$D$310,4,FALSE)*'OPEB Amounts_Report'!$O$323,0)</f>
        <v>-3685</v>
      </c>
      <c r="P296" s="71">
        <f>INDEX('Change in Proportion Layers'!$X$8:$X$321,MATCH('OPEB Amounts_Report'!A296,'Change in Proportion Layers'!$A$8:$A$321,0))</f>
        <v>-47061</v>
      </c>
      <c r="Q296" s="71">
        <f t="shared" si="16"/>
        <v>-50746</v>
      </c>
    </row>
    <row r="297" spans="1:17" s="181" customFormat="1" ht="12" customHeight="1">
      <c r="A297" s="254">
        <v>32102</v>
      </c>
      <c r="B297" s="255" t="s">
        <v>282</v>
      </c>
      <c r="C297" s="89">
        <f>ROUND(VLOOKUP(A297,'Contribution Allocation_Report'!$A$9:$D$310,4,FALSE)*'OPEB Amounts_Report'!$C$323,0)</f>
        <v>413268</v>
      </c>
      <c r="D297" s="89">
        <f>ROUND(VLOOKUP(A297,'Contribution Allocation_Report'!$A$9:$D$310,4,FALSE)*'OPEB Amounts_Report'!$D$323,0)</f>
        <v>6043</v>
      </c>
      <c r="E297" s="89">
        <f>ROUND(VLOOKUP(A297,'Contribution Allocation_Report'!$A$9:$D$310,4,FALSE)*'OPEB Amounts_Report'!$E$323,0)</f>
        <v>82740</v>
      </c>
      <c r="F297" s="89">
        <f>INDEX('Change in Proportion Layers'!$Z$8:$Z$321,MATCH('OPEB Amounts_Report'!A297,'Change in Proportion Layers'!$A$8:$A$321,0))</f>
        <v>39851</v>
      </c>
      <c r="G297" s="89">
        <f t="shared" si="14"/>
        <v>128634</v>
      </c>
      <c r="H297" s="89"/>
      <c r="I297" s="89">
        <f>ROUND(VLOOKUP(A297,'Contribution Allocation_Report'!$A$9:$D$310,4,FALSE)*'OPEB Amounts_Report'!$I$323,0)</f>
        <v>65908</v>
      </c>
      <c r="J297" s="89">
        <f>ROUND(VLOOKUP(A297,'Contribution Allocation_Report'!$A$9:$D$310,4,FALSE)*'OPEB Amounts_Report'!$J$323,0)</f>
        <v>11846</v>
      </c>
      <c r="K297" s="89">
        <f>ROUND(VLOOKUP(A297,'Contribution Allocation_Report'!$A$9:$D$310,4,FALSE)*'OPEB Amounts_Report'!$K$323,0)</f>
        <v>149411</v>
      </c>
      <c r="L297" s="297">
        <f>INDEX('Change in Proportion Layers'!$AA$8:$AA$321,MATCH('OPEB Amounts_Report'!A297,'Change in Proportion Layers'!$A$8:$A$321,0))</f>
        <v>38755</v>
      </c>
      <c r="M297" s="89">
        <f t="shared" si="15"/>
        <v>265920</v>
      </c>
      <c r="N297" s="90"/>
      <c r="O297" s="90">
        <f>ROUND(VLOOKUP(A297,'Contribution Allocation_Report'!$A$9:$D$310,4,FALSE)*'OPEB Amounts_Report'!$O$323,0)</f>
        <v>-44505</v>
      </c>
      <c r="P297" s="90">
        <f>INDEX('Change in Proportion Layers'!$X$8:$X$321,MATCH('OPEB Amounts_Report'!A297,'Change in Proportion Layers'!$A$8:$A$321,0))</f>
        <v>-6484</v>
      </c>
      <c r="Q297" s="90">
        <f t="shared" si="16"/>
        <v>-50989</v>
      </c>
    </row>
    <row r="298" spans="1:17" s="181" customFormat="1" ht="12" customHeight="1">
      <c r="A298" s="62">
        <v>2880</v>
      </c>
      <c r="B298" s="63" t="s">
        <v>283</v>
      </c>
      <c r="C298" s="171">
        <f>ROUND(VLOOKUP(A298,'Contribution Allocation_Report'!$A$9:$D$310,4,FALSE)*'OPEB Amounts_Report'!$C$323,0)</f>
        <v>139840</v>
      </c>
      <c r="D298" s="171">
        <f>ROUND(VLOOKUP(A298,'Contribution Allocation_Report'!$A$9:$D$310,4,FALSE)*'OPEB Amounts_Report'!$D$323,0)</f>
        <v>2045</v>
      </c>
      <c r="E298" s="171">
        <f>ROUND(VLOOKUP(A298,'Contribution Allocation_Report'!$A$9:$D$310,4,FALSE)*'OPEB Amounts_Report'!$E$323,0)</f>
        <v>27997</v>
      </c>
      <c r="F298" s="171">
        <f>INDEX('Change in Proportion Layers'!$Z$8:$Z$321,MATCH('OPEB Amounts_Report'!A298,'Change in Proportion Layers'!$A$8:$A$321,0))</f>
        <v>36224</v>
      </c>
      <c r="G298" s="171">
        <f t="shared" si="14"/>
        <v>66266</v>
      </c>
      <c r="H298" s="171"/>
      <c r="I298" s="171">
        <f>ROUND(VLOOKUP(A298,'Contribution Allocation_Report'!$A$9:$D$310,4,FALSE)*'OPEB Amounts_Report'!$I$323,0)</f>
        <v>22302</v>
      </c>
      <c r="J298" s="171">
        <f>ROUND(VLOOKUP(A298,'Contribution Allocation_Report'!$A$9:$D$310,4,FALSE)*'OPEB Amounts_Report'!$J$323,0)</f>
        <v>4008</v>
      </c>
      <c r="K298" s="171">
        <f>ROUND(VLOOKUP(A298,'Contribution Allocation_Report'!$A$9:$D$310,4,FALSE)*'OPEB Amounts_Report'!$K$323,0)</f>
        <v>50557</v>
      </c>
      <c r="L298" s="173">
        <f>INDEX('Change in Proportion Layers'!$AA$8:$AA$321,MATCH('OPEB Amounts_Report'!A298,'Change in Proportion Layers'!$A$8:$A$321,0))</f>
        <v>14002</v>
      </c>
      <c r="M298" s="171">
        <f t="shared" si="15"/>
        <v>90869</v>
      </c>
      <c r="N298" s="172"/>
      <c r="O298" s="172">
        <f>ROUND(VLOOKUP(A298,'Contribution Allocation_Report'!$A$9:$D$310,4,FALSE)*'OPEB Amounts_Report'!$O$323,0)</f>
        <v>-15060</v>
      </c>
      <c r="P298" s="172">
        <f>INDEX('Change in Proportion Layers'!$X$8:$X$321,MATCH('OPEB Amounts_Report'!A298,'Change in Proportion Layers'!$A$8:$A$321,0))</f>
        <v>5558</v>
      </c>
      <c r="Q298" s="172">
        <f t="shared" si="16"/>
        <v>-9502</v>
      </c>
    </row>
    <row r="299" spans="1:17" s="181" customFormat="1" ht="12" customHeight="1">
      <c r="A299" s="254">
        <v>2490</v>
      </c>
      <c r="B299" s="255" t="s">
        <v>284</v>
      </c>
      <c r="C299" s="89">
        <f>ROUND(VLOOKUP(A299,'Contribution Allocation_Report'!$A$9:$D$310,4,FALSE)*'OPEB Amounts_Report'!$C$323,0)</f>
        <v>929853</v>
      </c>
      <c r="D299" s="89">
        <f>ROUND(VLOOKUP(A299,'Contribution Allocation_Report'!$A$9:$D$310,4,FALSE)*'OPEB Amounts_Report'!$D$323,0)</f>
        <v>13596</v>
      </c>
      <c r="E299" s="89">
        <f>ROUND(VLOOKUP(A299,'Contribution Allocation_Report'!$A$9:$D$310,4,FALSE)*'OPEB Amounts_Report'!$E$323,0)</f>
        <v>186165</v>
      </c>
      <c r="F299" s="89">
        <f>INDEX('Change in Proportion Layers'!$Z$8:$Z$321,MATCH('OPEB Amounts_Report'!A299,'Change in Proportion Layers'!$A$8:$A$321,0))</f>
        <v>61987</v>
      </c>
      <c r="G299" s="89">
        <f t="shared" si="14"/>
        <v>261748</v>
      </c>
      <c r="H299" s="89"/>
      <c r="I299" s="89">
        <f>ROUND(VLOOKUP(A299,'Contribution Allocation_Report'!$A$9:$D$310,4,FALSE)*'OPEB Amounts_Report'!$I$323,0)</f>
        <v>148292</v>
      </c>
      <c r="J299" s="89">
        <f>ROUND(VLOOKUP(A299,'Contribution Allocation_Report'!$A$9:$D$310,4,FALSE)*'OPEB Amounts_Report'!$J$323,0)</f>
        <v>26653</v>
      </c>
      <c r="K299" s="89">
        <f>ROUND(VLOOKUP(A299,'Contribution Allocation_Report'!$A$9:$D$310,4,FALSE)*'OPEB Amounts_Report'!$K$323,0)</f>
        <v>336175</v>
      </c>
      <c r="L299" s="89">
        <f>INDEX('Change in Proportion Layers'!$AA$8:$AA$321,MATCH('OPEB Amounts_Report'!A299,'Change in Proportion Layers'!$A$8:$A$321,0))</f>
        <v>155501</v>
      </c>
      <c r="M299" s="89">
        <f t="shared" si="15"/>
        <v>666621</v>
      </c>
      <c r="N299" s="90"/>
      <c r="O299" s="90">
        <f>ROUND(VLOOKUP(A299,'Contribution Allocation_Report'!$A$9:$D$310,4,FALSE)*'OPEB Amounts_Report'!$O$323,0)</f>
        <v>-100137</v>
      </c>
      <c r="P299" s="90">
        <f>INDEX('Change in Proportion Layers'!$X$8:$X$321,MATCH('OPEB Amounts_Report'!A299,'Change in Proportion Layers'!$A$8:$A$321,0))</f>
        <v>-16709</v>
      </c>
      <c r="Q299" s="90">
        <f t="shared" si="16"/>
        <v>-116846</v>
      </c>
    </row>
    <row r="300" spans="1:17" s="181" customFormat="1" ht="12" customHeight="1">
      <c r="A300" s="62">
        <v>2530</v>
      </c>
      <c r="B300" s="66" t="s">
        <v>285</v>
      </c>
      <c r="C300" s="70">
        <f>ROUND(VLOOKUP(A300,'Contribution Allocation_Report'!$A$9:$D$310,4,FALSE)*'OPEB Amounts_Report'!$C$323,0)</f>
        <v>100356</v>
      </c>
      <c r="D300" s="70">
        <f>ROUND(VLOOKUP(A300,'Contribution Allocation_Report'!$A$9:$D$310,4,FALSE)*'OPEB Amounts_Report'!$D$323,0)</f>
        <v>1467</v>
      </c>
      <c r="E300" s="70">
        <f>ROUND(VLOOKUP(A300,'Contribution Allocation_Report'!$A$9:$D$310,4,FALSE)*'OPEB Amounts_Report'!$E$323,0)</f>
        <v>20092</v>
      </c>
      <c r="F300" s="70">
        <f>INDEX('Change in Proportion Layers'!$Z$8:$Z$321,MATCH('OPEB Amounts_Report'!A300,'Change in Proportion Layers'!$A$8:$A$321,0))</f>
        <v>35089</v>
      </c>
      <c r="G300" s="70">
        <f t="shared" si="14"/>
        <v>56648</v>
      </c>
      <c r="H300" s="70"/>
      <c r="I300" s="70">
        <f>ROUND(VLOOKUP(A300,'Contribution Allocation_Report'!$A$9:$D$310,4,FALSE)*'OPEB Amounts_Report'!$I$323,0)</f>
        <v>16005</v>
      </c>
      <c r="J300" s="70">
        <f>ROUND(VLOOKUP(A300,'Contribution Allocation_Report'!$A$9:$D$310,4,FALSE)*'OPEB Amounts_Report'!$J$323,0)</f>
        <v>2877</v>
      </c>
      <c r="K300" s="70">
        <f>ROUND(VLOOKUP(A300,'Contribution Allocation_Report'!$A$9:$D$310,4,FALSE)*'OPEB Amounts_Report'!$K$323,0)</f>
        <v>36282</v>
      </c>
      <c r="L300" s="70">
        <f>INDEX('Change in Proportion Layers'!$AA$8:$AA$321,MATCH('OPEB Amounts_Report'!A300,'Change in Proportion Layers'!$A$8:$A$321,0))</f>
        <v>196809</v>
      </c>
      <c r="M300" s="70">
        <f t="shared" si="15"/>
        <v>251973</v>
      </c>
      <c r="N300" s="71"/>
      <c r="O300" s="71">
        <f>ROUND(VLOOKUP(A300,'Contribution Allocation_Report'!$A$9:$D$310,4,FALSE)*'OPEB Amounts_Report'!$O$323,0)</f>
        <v>-10807</v>
      </c>
      <c r="P300" s="71">
        <f>INDEX('Change in Proportion Layers'!$X$8:$X$321,MATCH('OPEB Amounts_Report'!A300,'Change in Proportion Layers'!$A$8:$A$321,0))</f>
        <v>-29438</v>
      </c>
      <c r="Q300" s="71">
        <f t="shared" si="16"/>
        <v>-40245</v>
      </c>
    </row>
    <row r="301" spans="1:17" s="181" customFormat="1" ht="12" customHeight="1">
      <c r="A301" s="254">
        <v>2560</v>
      </c>
      <c r="B301" s="255" t="s">
        <v>286</v>
      </c>
      <c r="C301" s="89">
        <f>ROUND(VLOOKUP(A301,'Contribution Allocation_Report'!$A$9:$D$310,4,FALSE)*'OPEB Amounts_Report'!$C$323,0)</f>
        <v>297777</v>
      </c>
      <c r="D301" s="89">
        <f>ROUND(VLOOKUP(A301,'Contribution Allocation_Report'!$A$9:$D$310,4,FALSE)*'OPEB Amounts_Report'!$D$323,0)</f>
        <v>4354</v>
      </c>
      <c r="E301" s="89">
        <f>ROUND(VLOOKUP(A301,'Contribution Allocation_Report'!$A$9:$D$310,4,FALSE)*'OPEB Amounts_Report'!$E$323,0)</f>
        <v>59618</v>
      </c>
      <c r="F301" s="89">
        <f>INDEX('Change in Proportion Layers'!$Z$8:$Z$321,MATCH('OPEB Amounts_Report'!A301,'Change in Proportion Layers'!$A$8:$A$321,0))</f>
        <v>39956</v>
      </c>
      <c r="G301" s="89">
        <f t="shared" si="14"/>
        <v>103928</v>
      </c>
      <c r="H301" s="89"/>
      <c r="I301" s="89">
        <f>ROUND(VLOOKUP(A301,'Contribution Allocation_Report'!$A$9:$D$310,4,FALSE)*'OPEB Amounts_Report'!$I$323,0)</f>
        <v>47489</v>
      </c>
      <c r="J301" s="89">
        <f>ROUND(VLOOKUP(A301,'Contribution Allocation_Report'!$A$9:$D$310,4,FALSE)*'OPEB Amounts_Report'!$J$323,0)</f>
        <v>8536</v>
      </c>
      <c r="K301" s="89">
        <f>ROUND(VLOOKUP(A301,'Contribution Allocation_Report'!$A$9:$D$310,4,FALSE)*'OPEB Amounts_Report'!$K$323,0)</f>
        <v>107657</v>
      </c>
      <c r="L301" s="89">
        <f>INDEX('Change in Proportion Layers'!$AA$8:$AA$321,MATCH('OPEB Amounts_Report'!A301,'Change in Proportion Layers'!$A$8:$A$321,0))</f>
        <v>141300</v>
      </c>
      <c r="M301" s="89">
        <f t="shared" si="15"/>
        <v>304982</v>
      </c>
      <c r="N301" s="90"/>
      <c r="O301" s="90">
        <f>ROUND(VLOOKUP(A301,'Contribution Allocation_Report'!$A$9:$D$310,4,FALSE)*'OPEB Amounts_Report'!$O$323,0)</f>
        <v>-32068</v>
      </c>
      <c r="P301" s="90">
        <f>INDEX('Change in Proportion Layers'!$X$8:$X$321,MATCH('OPEB Amounts_Report'!A301,'Change in Proportion Layers'!$A$8:$A$321,0))</f>
        <v>-23049</v>
      </c>
      <c r="Q301" s="90">
        <f t="shared" si="16"/>
        <v>-55117</v>
      </c>
    </row>
    <row r="302" spans="1:17" s="181" customFormat="1" ht="12" customHeight="1">
      <c r="A302" s="62">
        <v>2610</v>
      </c>
      <c r="B302" s="66" t="s">
        <v>287</v>
      </c>
      <c r="C302" s="70">
        <f>ROUND(VLOOKUP(A302,'Contribution Allocation_Report'!$A$9:$D$310,4,FALSE)*'OPEB Amounts_Report'!$C$323,0)</f>
        <v>114175</v>
      </c>
      <c r="D302" s="70">
        <f>ROUND(VLOOKUP(A302,'Contribution Allocation_Report'!$A$9:$D$310,4,FALSE)*'OPEB Amounts_Report'!$D$323,0)</f>
        <v>1669</v>
      </c>
      <c r="E302" s="70">
        <f>ROUND(VLOOKUP(A302,'Contribution Allocation_Report'!$A$9:$D$310,4,FALSE)*'OPEB Amounts_Report'!$E$323,0)</f>
        <v>22859</v>
      </c>
      <c r="F302" s="70">
        <f>INDEX('Change in Proportion Layers'!$Z$8:$Z$321,MATCH('OPEB Amounts_Report'!A302,'Change in Proportion Layers'!$A$8:$A$321,0))</f>
        <v>13695</v>
      </c>
      <c r="G302" s="70">
        <f t="shared" si="14"/>
        <v>38223</v>
      </c>
      <c r="H302" s="70"/>
      <c r="I302" s="70">
        <f>ROUND(VLOOKUP(A302,'Contribution Allocation_Report'!$A$9:$D$310,4,FALSE)*'OPEB Amounts_Report'!$I$323,0)</f>
        <v>18209</v>
      </c>
      <c r="J302" s="70">
        <f>ROUND(VLOOKUP(A302,'Contribution Allocation_Report'!$A$9:$D$310,4,FALSE)*'OPEB Amounts_Report'!$J$323,0)</f>
        <v>3273</v>
      </c>
      <c r="K302" s="70">
        <f>ROUND(VLOOKUP(A302,'Contribution Allocation_Report'!$A$9:$D$310,4,FALSE)*'OPEB Amounts_Report'!$K$323,0)</f>
        <v>41278</v>
      </c>
      <c r="L302" s="70">
        <f>INDEX('Change in Proportion Layers'!$AA$8:$AA$321,MATCH('OPEB Amounts_Report'!A302,'Change in Proportion Layers'!$A$8:$A$321,0))</f>
        <v>14012</v>
      </c>
      <c r="M302" s="70">
        <f t="shared" si="15"/>
        <v>76772</v>
      </c>
      <c r="N302" s="71"/>
      <c r="O302" s="71">
        <f>ROUND(VLOOKUP(A302,'Contribution Allocation_Report'!$A$9:$D$310,4,FALSE)*'OPEB Amounts_Report'!$O$323,0)</f>
        <v>-12296</v>
      </c>
      <c r="P302" s="71">
        <f>INDEX('Change in Proportion Layers'!$X$8:$X$321,MATCH('OPEB Amounts_Report'!A302,'Change in Proportion Layers'!$A$8:$A$321,0))</f>
        <v>1660</v>
      </c>
      <c r="Q302" s="71">
        <f t="shared" si="16"/>
        <v>-10636</v>
      </c>
    </row>
    <row r="303" spans="1:17" s="181" customFormat="1" ht="12" customHeight="1">
      <c r="A303" s="254">
        <v>2800</v>
      </c>
      <c r="B303" s="255" t="s">
        <v>288</v>
      </c>
      <c r="C303" s="89">
        <f>ROUND(VLOOKUP(A303,'Contribution Allocation_Report'!$A$9:$D$310,4,FALSE)*'OPEB Amounts_Report'!$C$323,0)</f>
        <v>288893</v>
      </c>
      <c r="D303" s="89">
        <f>ROUND(VLOOKUP(A303,'Contribution Allocation_Report'!$A$9:$D$310,4,FALSE)*'OPEB Amounts_Report'!$D$323,0)</f>
        <v>4224</v>
      </c>
      <c r="E303" s="89">
        <f>ROUND(VLOOKUP(A303,'Contribution Allocation_Report'!$A$9:$D$310,4,FALSE)*'OPEB Amounts_Report'!$E$323,0)</f>
        <v>57839</v>
      </c>
      <c r="F303" s="89">
        <f>INDEX('Change in Proportion Layers'!$Z$8:$Z$321,MATCH('OPEB Amounts_Report'!A303,'Change in Proportion Layers'!$A$8:$A$321,0))</f>
        <v>101213</v>
      </c>
      <c r="G303" s="89">
        <f t="shared" si="14"/>
        <v>163276</v>
      </c>
      <c r="H303" s="89"/>
      <c r="I303" s="89">
        <f>ROUND(VLOOKUP(A303,'Contribution Allocation_Report'!$A$9:$D$310,4,FALSE)*'OPEB Amounts_Report'!$I$323,0)</f>
        <v>46072</v>
      </c>
      <c r="J303" s="89">
        <f>ROUND(VLOOKUP(A303,'Contribution Allocation_Report'!$A$9:$D$310,4,FALSE)*'OPEB Amounts_Report'!$J$323,0)</f>
        <v>8281</v>
      </c>
      <c r="K303" s="89">
        <f>ROUND(VLOOKUP(A303,'Contribution Allocation_Report'!$A$9:$D$310,4,FALSE)*'OPEB Amounts_Report'!$K$323,0)</f>
        <v>104445</v>
      </c>
      <c r="L303" s="89">
        <f>INDEX('Change in Proportion Layers'!$AA$8:$AA$321,MATCH('OPEB Amounts_Report'!A303,'Change in Proportion Layers'!$A$8:$A$321,0))</f>
        <v>7171</v>
      </c>
      <c r="M303" s="89">
        <f t="shared" si="15"/>
        <v>165969</v>
      </c>
      <c r="N303" s="90"/>
      <c r="O303" s="90">
        <f>ROUND(VLOOKUP(A303,'Contribution Allocation_Report'!$A$9:$D$310,4,FALSE)*'OPEB Amounts_Report'!$O$323,0)</f>
        <v>-31111</v>
      </c>
      <c r="P303" s="90">
        <f>INDEX('Change in Proportion Layers'!$X$8:$X$321,MATCH('OPEB Amounts_Report'!A303,'Change in Proportion Layers'!$A$8:$A$321,0))</f>
        <v>30019</v>
      </c>
      <c r="Q303" s="90">
        <f t="shared" si="16"/>
        <v>-1092</v>
      </c>
    </row>
    <row r="304" spans="1:17" s="181" customFormat="1" ht="12" customHeight="1">
      <c r="A304" s="62">
        <v>20317</v>
      </c>
      <c r="B304" s="66" t="s">
        <v>289</v>
      </c>
      <c r="C304" s="70">
        <f>ROUND(VLOOKUP(A304,'Contribution Allocation_Report'!$A$9:$D$310,4,FALSE)*'OPEB Amounts_Report'!$C$323,0)</f>
        <v>479075</v>
      </c>
      <c r="D304" s="70">
        <f>ROUND(VLOOKUP(A304,'Contribution Allocation_Report'!$A$9:$D$310,4,FALSE)*'OPEB Amounts_Report'!$D$323,0)</f>
        <v>7005</v>
      </c>
      <c r="E304" s="70">
        <f>ROUND(VLOOKUP(A304,'Contribution Allocation_Report'!$A$9:$D$310,4,FALSE)*'OPEB Amounts_Report'!$E$323,0)</f>
        <v>95915</v>
      </c>
      <c r="F304" s="296">
        <f>INDEX('Change in Proportion Layers'!$Z$8:$Z$321,MATCH('OPEB Amounts_Report'!A304,'Change in Proportion Layers'!$A$8:$A$321,0))</f>
        <v>111064</v>
      </c>
      <c r="G304" s="70">
        <f t="shared" si="14"/>
        <v>213984</v>
      </c>
      <c r="H304" s="70"/>
      <c r="I304" s="70">
        <f>ROUND(VLOOKUP(A304,'Contribution Allocation_Report'!$A$9:$D$310,4,FALSE)*'OPEB Amounts_Report'!$I$323,0)</f>
        <v>76402</v>
      </c>
      <c r="J304" s="70">
        <f>ROUND(VLOOKUP(A304,'Contribution Allocation_Report'!$A$9:$D$310,4,FALSE)*'OPEB Amounts_Report'!$J$323,0)</f>
        <v>13732</v>
      </c>
      <c r="K304" s="70">
        <f>ROUND(VLOOKUP(A304,'Contribution Allocation_Report'!$A$9:$D$310,4,FALSE)*'OPEB Amounts_Report'!$K$323,0)</f>
        <v>173203</v>
      </c>
      <c r="L304" s="70">
        <f>INDEX('Change in Proportion Layers'!$AA$8:$AA$321,MATCH('OPEB Amounts_Report'!A304,'Change in Proportion Layers'!$A$8:$A$321,0))</f>
        <v>153314</v>
      </c>
      <c r="M304" s="70">
        <f t="shared" si="15"/>
        <v>416651</v>
      </c>
      <c r="N304" s="71"/>
      <c r="O304" s="71">
        <f>ROUND(VLOOKUP(A304,'Contribution Allocation_Report'!$A$9:$D$310,4,FALSE)*'OPEB Amounts_Report'!$O$323,0)</f>
        <v>-51592</v>
      </c>
      <c r="P304" s="71">
        <f>INDEX('Change in Proportion Layers'!$X$8:$X$321,MATCH('OPEB Amounts_Report'!A304,'Change in Proportion Layers'!$A$8:$A$321,0))</f>
        <v>-2974</v>
      </c>
      <c r="Q304" s="71">
        <f t="shared" si="16"/>
        <v>-54566</v>
      </c>
    </row>
    <row r="305" spans="1:17" s="215" customFormat="1" ht="12" customHeight="1">
      <c r="A305" s="254">
        <v>2442</v>
      </c>
      <c r="B305" s="255" t="s">
        <v>451</v>
      </c>
      <c r="C305" s="89">
        <f>ROUND(VLOOKUP(A305,'Contribution Allocation_Report'!$A$9:$D$310,4,FALSE)*'OPEB Amounts_Report'!$C$323,0)</f>
        <v>54949</v>
      </c>
      <c r="D305" s="89">
        <f>ROUND(VLOOKUP(A305,'Contribution Allocation_Report'!$A$9:$D$310,4,FALSE)*'OPEB Amounts_Report'!$D$323,0)</f>
        <v>803</v>
      </c>
      <c r="E305" s="89">
        <f>ROUND(VLOOKUP(A305,'Contribution Allocation_Report'!$A$9:$D$310,4,FALSE)*'OPEB Amounts_Report'!$E$323,0)</f>
        <v>11001</v>
      </c>
      <c r="F305" s="89">
        <f>INDEX('Change in Proportion Layers'!$Z$8:$Z$321,MATCH('OPEB Amounts_Report'!A305,'Change in Proportion Layers'!$A$8:$A$321,0))</f>
        <v>67356</v>
      </c>
      <c r="G305" s="89">
        <f t="shared" si="14"/>
        <v>79160</v>
      </c>
      <c r="H305" s="89"/>
      <c r="I305" s="89">
        <f>ROUND(VLOOKUP(A305,'Contribution Allocation_Report'!$A$9:$D$310,4,FALSE)*'OPEB Amounts_Report'!$I$323,0)</f>
        <v>8763</v>
      </c>
      <c r="J305" s="89">
        <f>ROUND(VLOOKUP(A305,'Contribution Allocation_Report'!$A$9:$D$310,4,FALSE)*'OPEB Amounts_Report'!$J$323,0)</f>
        <v>1575</v>
      </c>
      <c r="K305" s="89">
        <f>ROUND(VLOOKUP(A305,'Contribution Allocation_Report'!$A$9:$D$310,4,FALSE)*'OPEB Amounts_Report'!$K$323,0)</f>
        <v>19866</v>
      </c>
      <c r="L305" s="297">
        <f>INDEX('Change in Proportion Layers'!$AA$8:$AA$321,MATCH('OPEB Amounts_Report'!A305,'Change in Proportion Layers'!$A$8:$A$321,0))</f>
        <v>0</v>
      </c>
      <c r="M305" s="89">
        <f t="shared" si="15"/>
        <v>30204</v>
      </c>
      <c r="N305" s="90"/>
      <c r="O305" s="90">
        <f>ROUND(VLOOKUP(A305,'Contribution Allocation_Report'!$A$9:$D$310,4,FALSE)*'OPEB Amounts_Report'!$O$323,0)</f>
        <v>-5918</v>
      </c>
      <c r="P305" s="90">
        <f>INDEX('Change in Proportion Layers'!$X$8:$X$321,MATCH('OPEB Amounts_Report'!A305,'Change in Proportion Layers'!$A$8:$A$321,0))</f>
        <v>13525</v>
      </c>
      <c r="Q305" s="90">
        <f t="shared" si="16"/>
        <v>7607</v>
      </c>
    </row>
    <row r="306" spans="1:17" s="181" customFormat="1" ht="12" customHeight="1">
      <c r="A306" s="62">
        <v>30090</v>
      </c>
      <c r="B306" s="66" t="s">
        <v>290</v>
      </c>
      <c r="C306" s="70">
        <f>ROUND(VLOOKUP(A306,'Contribution Allocation_Report'!$A$9:$D$310,4,FALSE)*'OPEB Amounts_Report'!$C$323,0)</f>
        <v>1056860</v>
      </c>
      <c r="D306" s="70">
        <f>ROUND(VLOOKUP(A306,'Contribution Allocation_Report'!$A$9:$D$310,4,FALSE)*'OPEB Amounts_Report'!$D$323,0)</f>
        <v>15453</v>
      </c>
      <c r="E306" s="70">
        <f>ROUND(VLOOKUP(A306,'Contribution Allocation_Report'!$A$9:$D$310,4,FALSE)*'OPEB Amounts_Report'!$E$323,0)</f>
        <v>211593</v>
      </c>
      <c r="F306" s="296">
        <f>INDEX('Change in Proportion Layers'!$Z$8:$Z$321,MATCH('OPEB Amounts_Report'!A306,'Change in Proportion Layers'!$A$8:$A$321,0))</f>
        <v>223871</v>
      </c>
      <c r="G306" s="70">
        <f t="shared" si="14"/>
        <v>450917</v>
      </c>
      <c r="H306" s="70"/>
      <c r="I306" s="70">
        <f>ROUND(VLOOKUP(A306,'Contribution Allocation_Report'!$A$9:$D$310,4,FALSE)*'OPEB Amounts_Report'!$I$323,0)</f>
        <v>168547</v>
      </c>
      <c r="J306" s="70">
        <f>ROUND(VLOOKUP(A306,'Contribution Allocation_Report'!$A$9:$D$310,4,FALSE)*'OPEB Amounts_Report'!$J$323,0)</f>
        <v>30294</v>
      </c>
      <c r="K306" s="70">
        <f>ROUND(VLOOKUP(A306,'Contribution Allocation_Report'!$A$9:$D$310,4,FALSE)*'OPEB Amounts_Report'!$K$323,0)</f>
        <v>382092</v>
      </c>
      <c r="L306" s="70">
        <f>INDEX('Change in Proportion Layers'!$AA$8:$AA$321,MATCH('OPEB Amounts_Report'!A306,'Change in Proportion Layers'!$A$8:$A$321,0))</f>
        <v>66082</v>
      </c>
      <c r="M306" s="70">
        <f t="shared" si="15"/>
        <v>647015</v>
      </c>
      <c r="N306" s="71"/>
      <c r="O306" s="71">
        <f>ROUND(VLOOKUP(A306,'Contribution Allocation_Report'!$A$9:$D$310,4,FALSE)*'OPEB Amounts_Report'!$O$323,0)</f>
        <v>-113815</v>
      </c>
      <c r="P306" s="71">
        <f>INDEX('Change in Proportion Layers'!$X$8:$X$321,MATCH('OPEB Amounts_Report'!A306,'Change in Proportion Layers'!$A$8:$A$321,0))</f>
        <v>24066</v>
      </c>
      <c r="Q306" s="71">
        <f t="shared" si="16"/>
        <v>-89749</v>
      </c>
    </row>
    <row r="307" spans="1:17" ht="12" customHeight="1">
      <c r="A307" s="254">
        <v>29330</v>
      </c>
      <c r="B307" s="255" t="s">
        <v>291</v>
      </c>
      <c r="C307" s="89">
        <f>ROUND(VLOOKUP(A307,'Contribution Allocation_Report'!$A$9:$D$310,4,FALSE)*'OPEB Amounts_Report'!$C$323,0)</f>
        <v>375758</v>
      </c>
      <c r="D307" s="89">
        <f>ROUND(VLOOKUP(A307,'Contribution Allocation_Report'!$A$9:$D$310,4,FALSE)*'OPEB Amounts_Report'!$D$323,0)</f>
        <v>5494</v>
      </c>
      <c r="E307" s="89">
        <f>ROUND(VLOOKUP(A307,'Contribution Allocation_Report'!$A$9:$D$310,4,FALSE)*'OPEB Amounts_Report'!$E$323,0)</f>
        <v>75230</v>
      </c>
      <c r="F307" s="89">
        <f>INDEX('Change in Proportion Layers'!$Z$8:$Z$321,MATCH('OPEB Amounts_Report'!A307,'Change in Proportion Layers'!$A$8:$A$321,0))</f>
        <v>29222</v>
      </c>
      <c r="G307" s="89">
        <f t="shared" si="14"/>
        <v>109946</v>
      </c>
      <c r="H307" s="89"/>
      <c r="I307" s="89">
        <f>ROUND(VLOOKUP(A307,'Contribution Allocation_Report'!$A$9:$D$310,4,FALSE)*'OPEB Amounts_Report'!$I$323,0)</f>
        <v>59926</v>
      </c>
      <c r="J307" s="89">
        <f>ROUND(VLOOKUP(A307,'Contribution Allocation_Report'!$A$9:$D$310,4,FALSE)*'OPEB Amounts_Report'!$J$323,0)</f>
        <v>10771</v>
      </c>
      <c r="K307" s="89">
        <f>ROUND(VLOOKUP(A307,'Contribution Allocation_Report'!$A$9:$D$310,4,FALSE)*'OPEB Amounts_Report'!$K$323,0)</f>
        <v>135850</v>
      </c>
      <c r="L307" s="89">
        <f>INDEX('Change in Proportion Layers'!$AA$8:$AA$321,MATCH('OPEB Amounts_Report'!A307,'Change in Proportion Layers'!$A$8:$A$321,0))</f>
        <v>55295</v>
      </c>
      <c r="M307" s="89">
        <f t="shared" si="15"/>
        <v>261842</v>
      </c>
      <c r="N307" s="90"/>
      <c r="O307" s="90">
        <f>ROUND(VLOOKUP(A307,'Contribution Allocation_Report'!$A$9:$D$310,4,FALSE)*'OPEB Amounts_Report'!$O$323,0)</f>
        <v>-40466</v>
      </c>
      <c r="P307" s="90">
        <f>INDEX('Change in Proportion Layers'!$X$8:$X$321,MATCH('OPEB Amounts_Report'!A307,'Change in Proportion Layers'!$A$8:$A$321,0))</f>
        <v>2754</v>
      </c>
      <c r="Q307" s="90">
        <f t="shared" si="16"/>
        <v>-37712</v>
      </c>
    </row>
    <row r="308" spans="1:17" ht="12" customHeight="1">
      <c r="A308" s="62">
        <v>12038</v>
      </c>
      <c r="B308" s="66" t="s">
        <v>292</v>
      </c>
      <c r="C308" s="70">
        <f>ROUND(VLOOKUP(A308,'Contribution Allocation_Report'!$A$9:$D$310,4,FALSE)*'OPEB Amounts_Report'!$C$323,0)</f>
        <v>8196261</v>
      </c>
      <c r="D308" s="70">
        <f>ROUND(VLOOKUP(A308,'Contribution Allocation_Report'!$A$9:$D$310,4,FALSE)*'OPEB Amounts_Report'!$D$323,0)</f>
        <v>119840</v>
      </c>
      <c r="E308" s="70">
        <f>ROUND(VLOOKUP(A308,'Contribution Allocation_Report'!$A$9:$D$310,4,FALSE)*'OPEB Amounts_Report'!$E$323,0)</f>
        <v>1640967</v>
      </c>
      <c r="F308" s="70">
        <f>INDEX('Change in Proportion Layers'!$Z$8:$Z$321,MATCH('OPEB Amounts_Report'!A308,'Change in Proportion Layers'!$A$8:$A$321,0))</f>
        <v>1233226</v>
      </c>
      <c r="G308" s="70">
        <f t="shared" si="14"/>
        <v>2994033</v>
      </c>
      <c r="H308" s="70"/>
      <c r="I308" s="70">
        <f>ROUND(VLOOKUP(A308,'Contribution Allocation_Report'!$A$9:$D$310,4,FALSE)*'OPEB Amounts_Report'!$I$323,0)</f>
        <v>1307133</v>
      </c>
      <c r="J308" s="70">
        <f>ROUND(VLOOKUP(A308,'Contribution Allocation_Report'!$A$9:$D$310,4,FALSE)*'OPEB Amounts_Report'!$J$323,0)</f>
        <v>234939</v>
      </c>
      <c r="K308" s="70">
        <f>ROUND(VLOOKUP(A308,'Contribution Allocation_Report'!$A$9:$D$310,4,FALSE)*'OPEB Amounts_Report'!$K$323,0)</f>
        <v>2963239</v>
      </c>
      <c r="L308" s="70">
        <f>INDEX('Change in Proportion Layers'!$AA$8:$AA$321,MATCH('OPEB Amounts_Report'!A308,'Change in Proportion Layers'!$A$8:$A$321,0))</f>
        <v>0</v>
      </c>
      <c r="M308" s="70">
        <f t="shared" si="15"/>
        <v>4505311</v>
      </c>
      <c r="N308" s="71"/>
      <c r="O308" s="71">
        <f>ROUND(VLOOKUP(A308,'Contribution Allocation_Report'!$A$9:$D$310,4,FALSE)*'OPEB Amounts_Report'!$O$323,0)</f>
        <v>-882669</v>
      </c>
      <c r="P308" s="71">
        <f>INDEX('Change in Proportion Layers'!$X$8:$X$321,MATCH('OPEB Amounts_Report'!A308,'Change in Proportion Layers'!$A$8:$A$321,0))</f>
        <v>314322</v>
      </c>
      <c r="Q308" s="71">
        <f t="shared" si="16"/>
        <v>-568347</v>
      </c>
    </row>
    <row r="309" spans="1:17" ht="12" customHeight="1">
      <c r="A309" s="254">
        <v>8099</v>
      </c>
      <c r="B309" s="255" t="s">
        <v>293</v>
      </c>
      <c r="C309" s="89">
        <f>ROUND(VLOOKUP(A309,'Contribution Allocation_Report'!$A$9:$D$310,4,FALSE)*'OPEB Amounts_Report'!$C$323,0)</f>
        <v>12872506</v>
      </c>
      <c r="D309" s="89">
        <f>ROUND(VLOOKUP(A309,'Contribution Allocation_Report'!$A$9:$D$310,4,FALSE)*'OPEB Amounts_Report'!$D$323,0)</f>
        <v>188213</v>
      </c>
      <c r="E309" s="89">
        <f>ROUND(VLOOKUP(A309,'Contribution Allocation_Report'!$A$9:$D$310,4,FALSE)*'OPEB Amounts_Report'!$E$323,0)</f>
        <v>2577195</v>
      </c>
      <c r="F309" s="89">
        <f>INDEX('Change in Proportion Layers'!$Z$8:$Z$321,MATCH('OPEB Amounts_Report'!A309,'Change in Proportion Layers'!$A$8:$A$321,0))</f>
        <v>236350</v>
      </c>
      <c r="G309" s="89">
        <f t="shared" si="14"/>
        <v>3001758</v>
      </c>
      <c r="H309" s="89"/>
      <c r="I309" s="89">
        <f>ROUND(VLOOKUP(A309,'Contribution Allocation_Report'!$A$9:$D$310,4,FALSE)*'OPEB Amounts_Report'!$I$323,0)</f>
        <v>2052897</v>
      </c>
      <c r="J309" s="89">
        <f>ROUND(VLOOKUP(A309,'Contribution Allocation_Report'!$A$9:$D$310,4,FALSE)*'OPEB Amounts_Report'!$J$323,0)</f>
        <v>368980</v>
      </c>
      <c r="K309" s="89">
        <f>ROUND(VLOOKUP(A309,'Contribution Allocation_Report'!$A$9:$D$310,4,FALSE)*'OPEB Amounts_Report'!$K$323,0)</f>
        <v>4653867</v>
      </c>
      <c r="L309" s="89">
        <f>INDEX('Change in Proportion Layers'!$AA$8:$AA$321,MATCH('OPEB Amounts_Report'!A309,'Change in Proportion Layers'!$A$8:$A$321,0))</f>
        <v>1267664</v>
      </c>
      <c r="M309" s="89">
        <f t="shared" si="15"/>
        <v>8343408</v>
      </c>
      <c r="N309" s="90"/>
      <c r="O309" s="90">
        <f>ROUND(VLOOKUP(A309,'Contribution Allocation_Report'!$A$9:$D$310,4,FALSE)*'OPEB Amounts_Report'!$O$323,0)</f>
        <v>-1386261</v>
      </c>
      <c r="P309" s="90">
        <f>INDEX('Change in Proportion Layers'!$X$8:$X$321,MATCH('OPEB Amounts_Report'!A309,'Change in Proportion Layers'!$A$8:$A$321,0))</f>
        <v>-464253</v>
      </c>
      <c r="Q309" s="90">
        <f t="shared" si="16"/>
        <v>-1850514</v>
      </c>
    </row>
    <row r="310" spans="1:17" ht="12" customHeight="1">
      <c r="A310" s="62">
        <v>2417</v>
      </c>
      <c r="B310" s="66" t="s">
        <v>294</v>
      </c>
      <c r="C310" s="70">
        <f>ROUND(VLOOKUP(A310,'Contribution Allocation_Report'!$A$9:$D$310,4,FALSE)*'OPEB Amounts_Report'!$C$323,0)</f>
        <v>276060</v>
      </c>
      <c r="D310" s="70">
        <f>ROUND(VLOOKUP(A310,'Contribution Allocation_Report'!$A$9:$D$310,4,FALSE)*'OPEB Amounts_Report'!$D$323,0)</f>
        <v>4036</v>
      </c>
      <c r="E310" s="70">
        <f>ROUND(VLOOKUP(A310,'Contribution Allocation_Report'!$A$9:$D$310,4,FALSE)*'OPEB Amounts_Report'!$E$323,0)</f>
        <v>55270</v>
      </c>
      <c r="F310" s="70">
        <f>INDEX('Change in Proportion Layers'!$Z$8:$Z$321,MATCH('OPEB Amounts_Report'!A310,'Change in Proportion Layers'!$A$8:$A$321,0))</f>
        <v>51304</v>
      </c>
      <c r="G310" s="70">
        <f t="shared" si="14"/>
        <v>110610</v>
      </c>
      <c r="H310" s="70"/>
      <c r="I310" s="70">
        <f>ROUND(VLOOKUP(A310,'Contribution Allocation_Report'!$A$9:$D$310,4,FALSE)*'OPEB Amounts_Report'!$I$323,0)</f>
        <v>44026</v>
      </c>
      <c r="J310" s="70">
        <f>ROUND(VLOOKUP(A310,'Contribution Allocation_Report'!$A$9:$D$310,4,FALSE)*'OPEB Amounts_Report'!$J$323,0)</f>
        <v>7913</v>
      </c>
      <c r="K310" s="70">
        <f>ROUND(VLOOKUP(A310,'Contribution Allocation_Report'!$A$9:$D$310,4,FALSE)*'OPEB Amounts_Report'!$K$323,0)</f>
        <v>99806</v>
      </c>
      <c r="L310" s="296">
        <f>INDEX('Change in Proportion Layers'!$AA$8:$AA$321,MATCH('OPEB Amounts_Report'!A310,'Change in Proportion Layers'!$A$8:$A$321,0))</f>
        <v>8202</v>
      </c>
      <c r="M310" s="70">
        <f t="shared" si="15"/>
        <v>159947</v>
      </c>
      <c r="N310" s="71"/>
      <c r="O310" s="71">
        <f>ROUND(VLOOKUP(A310,'Contribution Allocation_Report'!$A$9:$D$310,4,FALSE)*'OPEB Amounts_Report'!$O$323,0)</f>
        <v>-29729</v>
      </c>
      <c r="P310" s="71">
        <f>INDEX('Change in Proportion Layers'!$X$8:$X$321,MATCH('OPEB Amounts_Report'!A310,'Change in Proportion Layers'!$A$8:$A$321,0))</f>
        <v>12762</v>
      </c>
      <c r="Q310" s="71">
        <f t="shared" si="16"/>
        <v>-16967</v>
      </c>
    </row>
    <row r="311" spans="1:17" ht="12" customHeight="1">
      <c r="A311" s="254">
        <v>13142</v>
      </c>
      <c r="B311" s="255" t="s">
        <v>295</v>
      </c>
      <c r="C311" s="89">
        <f>ROUND(VLOOKUP(A311,'Contribution Allocation_Report'!$A$9:$D$310,4,FALSE)*'OPEB Amounts_Report'!$C$323,0)</f>
        <v>7659934</v>
      </c>
      <c r="D311" s="89">
        <f>ROUND(VLOOKUP(A311,'Contribution Allocation_Report'!$A$9:$D$310,4,FALSE)*'OPEB Amounts_Report'!$D$323,0)</f>
        <v>111998</v>
      </c>
      <c r="E311" s="89">
        <f>ROUND(VLOOKUP(A311,'Contribution Allocation_Report'!$A$9:$D$310,4,FALSE)*'OPEB Amounts_Report'!$E$323,0)</f>
        <v>1533590</v>
      </c>
      <c r="F311" s="89">
        <f>INDEX('Change in Proportion Layers'!$Z$8:$Z$321,MATCH('OPEB Amounts_Report'!A311,'Change in Proportion Layers'!$A$8:$A$321,0))</f>
        <v>211812</v>
      </c>
      <c r="G311" s="89">
        <f t="shared" si="14"/>
        <v>1857400</v>
      </c>
      <c r="H311" s="89"/>
      <c r="I311" s="89">
        <f>ROUND(VLOOKUP(A311,'Contribution Allocation_Report'!$A$9:$D$310,4,FALSE)*'OPEB Amounts_Report'!$I$323,0)</f>
        <v>1221600</v>
      </c>
      <c r="J311" s="89">
        <f>ROUND(VLOOKUP(A311,'Contribution Allocation_Report'!$A$9:$D$310,4,FALSE)*'OPEB Amounts_Report'!$J$323,0)</f>
        <v>219566</v>
      </c>
      <c r="K311" s="89">
        <f>ROUND(VLOOKUP(A311,'Contribution Allocation_Report'!$A$9:$D$310,4,FALSE)*'OPEB Amounts_Report'!$K$323,0)</f>
        <v>2769338</v>
      </c>
      <c r="L311" s="89">
        <f>INDEX('Change in Proportion Layers'!$AA$8:$AA$321,MATCH('OPEB Amounts_Report'!A311,'Change in Proportion Layers'!$A$8:$A$321,0))</f>
        <v>409910</v>
      </c>
      <c r="M311" s="89">
        <f t="shared" si="15"/>
        <v>4620414</v>
      </c>
      <c r="N311" s="90"/>
      <c r="O311" s="90">
        <f>ROUND(VLOOKUP(A311,'Contribution Allocation_Report'!$A$9:$D$310,4,FALSE)*'OPEB Amounts_Report'!$O$323,0)</f>
        <v>-824911</v>
      </c>
      <c r="P311" s="90">
        <f>INDEX('Change in Proportion Layers'!$X$8:$X$321,MATCH('OPEB Amounts_Report'!A311,'Change in Proportion Layers'!$A$8:$A$321,0))</f>
        <v>-71275</v>
      </c>
      <c r="Q311" s="90">
        <f t="shared" si="16"/>
        <v>-896186</v>
      </c>
    </row>
    <row r="312" spans="1:17" s="215" customFormat="1" ht="12" customHeight="1">
      <c r="A312" s="62">
        <v>17334</v>
      </c>
      <c r="B312" s="66" t="s">
        <v>453</v>
      </c>
      <c r="C312" s="70">
        <v>0</v>
      </c>
      <c r="D312" s="70">
        <v>0</v>
      </c>
      <c r="E312" s="70">
        <v>0</v>
      </c>
      <c r="F312" s="70">
        <f>INDEX('Change in Proportion Layers'!$Z$8:$Z$321,MATCH('OPEB Amounts_Report'!A312,'Change in Proportion Layers'!$A$8:$A$321,0))</f>
        <v>3847</v>
      </c>
      <c r="G312" s="70">
        <f t="shared" ref="G312" si="17">SUM(D312:F312)</f>
        <v>3847</v>
      </c>
      <c r="H312" s="70"/>
      <c r="I312" s="70">
        <v>0</v>
      </c>
      <c r="J312" s="70">
        <v>0</v>
      </c>
      <c r="K312" s="70">
        <v>0</v>
      </c>
      <c r="L312" s="70">
        <f>INDEX('Change in Proportion Layers'!$AA$8:$AA$321,MATCH('OPEB Amounts_Report'!A312,'Change in Proportion Layers'!$A$8:$A$321,0))</f>
        <v>144288</v>
      </c>
      <c r="M312" s="70">
        <f t="shared" ref="M312" si="18">SUM(I312:L312)</f>
        <v>144288</v>
      </c>
      <c r="N312" s="71"/>
      <c r="O312" s="71">
        <v>0</v>
      </c>
      <c r="P312" s="71">
        <f>INDEX('Change in Proportion Layers'!$X$8:$X$321,MATCH('OPEB Amounts_Report'!A312,'Change in Proportion Layers'!$A$8:$A$321,0))</f>
        <v>-31515</v>
      </c>
      <c r="Q312" s="71">
        <f t="shared" si="16"/>
        <v>-31515</v>
      </c>
    </row>
    <row r="313" spans="1:17" s="181" customFormat="1" ht="12" customHeight="1">
      <c r="A313" s="254">
        <v>2403</v>
      </c>
      <c r="B313" s="255" t="s">
        <v>454</v>
      </c>
      <c r="C313" s="89">
        <v>0</v>
      </c>
      <c r="D313" s="89">
        <v>0</v>
      </c>
      <c r="E313" s="89">
        <v>0</v>
      </c>
      <c r="F313" s="89">
        <f>INDEX('Change in Proportion Layers'!$Z$8:$Z$321,MATCH('OPEB Amounts_Report'!A313,'Change in Proportion Layers'!$A$8:$A$321,0))</f>
        <v>126632</v>
      </c>
      <c r="G313" s="89">
        <f t="shared" si="14"/>
        <v>126632</v>
      </c>
      <c r="H313" s="89"/>
      <c r="I313" s="89">
        <v>0</v>
      </c>
      <c r="J313" s="89">
        <v>0</v>
      </c>
      <c r="K313" s="89">
        <v>0</v>
      </c>
      <c r="L313" s="89">
        <f>INDEX('Change in Proportion Layers'!$AA$8:$AA$321,MATCH('OPEB Amounts_Report'!A313,'Change in Proportion Layers'!$A$8:$A$321,0))</f>
        <v>193890</v>
      </c>
      <c r="M313" s="89">
        <f t="shared" si="15"/>
        <v>193890</v>
      </c>
      <c r="N313" s="90"/>
      <c r="O313" s="90">
        <v>0</v>
      </c>
      <c r="P313" s="90">
        <f>INDEX('Change in Proportion Layers'!$X$8:$X$321,MATCH('OPEB Amounts_Report'!A313,'Change in Proportion Layers'!$A$8:$A$321,0))</f>
        <v>179</v>
      </c>
      <c r="Q313" s="90">
        <f t="shared" si="16"/>
        <v>179</v>
      </c>
    </row>
    <row r="314" spans="1:17" s="181" customFormat="1" ht="12" customHeight="1">
      <c r="A314" s="62">
        <v>16358</v>
      </c>
      <c r="B314" s="66" t="s">
        <v>455</v>
      </c>
      <c r="C314" s="70">
        <v>0</v>
      </c>
      <c r="D314" s="70">
        <v>0</v>
      </c>
      <c r="E314" s="70">
        <v>0</v>
      </c>
      <c r="F314" s="70">
        <f>INDEX('Change in Proportion Layers'!$Z$8:$Z$321,MATCH('OPEB Amounts_Report'!A314,'Change in Proportion Layers'!$A$8:$A$321,0))</f>
        <v>2509</v>
      </c>
      <c r="G314" s="70">
        <f t="shared" si="14"/>
        <v>2509</v>
      </c>
      <c r="H314" s="70"/>
      <c r="I314" s="70">
        <v>0</v>
      </c>
      <c r="J314" s="70">
        <v>0</v>
      </c>
      <c r="K314" s="70">
        <v>0</v>
      </c>
      <c r="L314" s="296">
        <f>INDEX('Change in Proportion Layers'!$AA$8:$AA$321,MATCH('OPEB Amounts_Report'!A314,'Change in Proportion Layers'!$A$8:$A$321,0))</f>
        <v>499454</v>
      </c>
      <c r="M314" s="70">
        <f t="shared" si="15"/>
        <v>499454</v>
      </c>
      <c r="N314" s="71"/>
      <c r="O314" s="71">
        <v>0</v>
      </c>
      <c r="P314" s="71">
        <f>INDEX('Change in Proportion Layers'!$X$8:$X$321,MATCH('OPEB Amounts_Report'!A314,'Change in Proportion Layers'!$A$8:$A$321,0))</f>
        <v>-187729</v>
      </c>
      <c r="Q314" s="71">
        <f t="shared" si="16"/>
        <v>-187729</v>
      </c>
    </row>
    <row r="315" spans="1:17" s="181" customFormat="1" ht="12" customHeight="1">
      <c r="A315" s="254">
        <v>2357</v>
      </c>
      <c r="B315" s="255" t="s">
        <v>456</v>
      </c>
      <c r="C315" s="89">
        <v>0</v>
      </c>
      <c r="D315" s="89">
        <v>0</v>
      </c>
      <c r="E315" s="89">
        <v>0</v>
      </c>
      <c r="F315" s="89">
        <f>INDEX('Change in Proportion Layers'!$Z$8:$Z$321,MATCH('OPEB Amounts_Report'!A315,'Change in Proportion Layers'!$A$8:$A$321,0))</f>
        <v>0</v>
      </c>
      <c r="G315" s="89">
        <f t="shared" si="14"/>
        <v>0</v>
      </c>
      <c r="H315" s="89"/>
      <c r="I315" s="89">
        <v>0</v>
      </c>
      <c r="J315" s="89">
        <v>0</v>
      </c>
      <c r="K315" s="89">
        <v>0</v>
      </c>
      <c r="L315" s="89">
        <f>INDEX('Change in Proportion Layers'!$AA$8:$AA$321,MATCH('OPEB Amounts_Report'!A315,'Change in Proportion Layers'!$A$8:$A$321,0))</f>
        <v>255071</v>
      </c>
      <c r="M315" s="89">
        <f t="shared" si="15"/>
        <v>255071</v>
      </c>
      <c r="N315" s="90"/>
      <c r="O315" s="90">
        <v>0</v>
      </c>
      <c r="P315" s="90">
        <f>INDEX('Change in Proportion Layers'!$X$8:$X$321,MATCH('OPEB Amounts_Report'!A315,'Change in Proportion Layers'!$A$8:$A$321,0))</f>
        <v>-101126</v>
      </c>
      <c r="Q315" s="90">
        <f t="shared" si="16"/>
        <v>-101126</v>
      </c>
    </row>
    <row r="316" spans="1:17" s="181" customFormat="1" ht="12" customHeight="1">
      <c r="A316" s="62">
        <v>16357</v>
      </c>
      <c r="B316" s="66" t="s">
        <v>457</v>
      </c>
      <c r="C316" s="70">
        <v>0</v>
      </c>
      <c r="D316" s="70">
        <v>0</v>
      </c>
      <c r="E316" s="70">
        <v>0</v>
      </c>
      <c r="F316" s="70">
        <f>INDEX('Change in Proportion Layers'!$Z$8:$Z$321,MATCH('OPEB Amounts_Report'!A316,'Change in Proportion Layers'!$A$8:$A$321,0))</f>
        <v>0</v>
      </c>
      <c r="G316" s="70">
        <f t="shared" si="14"/>
        <v>0</v>
      </c>
      <c r="H316" s="70"/>
      <c r="I316" s="70">
        <v>0</v>
      </c>
      <c r="J316" s="70">
        <v>0</v>
      </c>
      <c r="K316" s="70">
        <v>0</v>
      </c>
      <c r="L316" s="296">
        <f>INDEX('Change in Proportion Layers'!$AA$8:$AA$321,MATCH('OPEB Amounts_Report'!A316,'Change in Proportion Layers'!$A$8:$A$321,0))</f>
        <v>412433</v>
      </c>
      <c r="M316" s="70">
        <f t="shared" si="15"/>
        <v>412433</v>
      </c>
      <c r="N316" s="71"/>
      <c r="O316" s="71">
        <v>0</v>
      </c>
      <c r="P316" s="71">
        <f>INDEX('Change in Proportion Layers'!$X$8:$X$321,MATCH('OPEB Amounts_Report'!A316,'Change in Proportion Layers'!$A$8:$A$321,0))</f>
        <v>-177304</v>
      </c>
      <c r="Q316" s="71">
        <f t="shared" si="16"/>
        <v>-177304</v>
      </c>
    </row>
    <row r="317" spans="1:17" s="181" customFormat="1" ht="12" customHeight="1">
      <c r="A317" s="254">
        <v>7339</v>
      </c>
      <c r="B317" s="255" t="s">
        <v>458</v>
      </c>
      <c r="C317" s="89">
        <v>0</v>
      </c>
      <c r="D317" s="89">
        <v>0</v>
      </c>
      <c r="E317" s="89">
        <v>0</v>
      </c>
      <c r="F317" s="297">
        <f>INDEX('Change in Proportion Layers'!$Z$8:$Z$321,MATCH('OPEB Amounts_Report'!A317,'Change in Proportion Layers'!$A$8:$A$321,0))</f>
        <v>0</v>
      </c>
      <c r="G317" s="89">
        <f t="shared" si="14"/>
        <v>0</v>
      </c>
      <c r="H317" s="89"/>
      <c r="I317" s="89">
        <v>0</v>
      </c>
      <c r="J317" s="89">
        <v>0</v>
      </c>
      <c r="K317" s="89">
        <v>0</v>
      </c>
      <c r="L317" s="89">
        <f>INDEX('Change in Proportion Layers'!$AA$8:$AA$321,MATCH('OPEB Amounts_Report'!A317,'Change in Proportion Layers'!$A$8:$A$321,0))</f>
        <v>325499</v>
      </c>
      <c r="M317" s="89">
        <f t="shared" si="15"/>
        <v>325499</v>
      </c>
      <c r="N317" s="90"/>
      <c r="O317" s="90">
        <v>0</v>
      </c>
      <c r="P317" s="90">
        <f>INDEX('Change in Proportion Layers'!$X$8:$X$321,MATCH('OPEB Amounts_Report'!A317,'Change in Proportion Layers'!$A$8:$A$321,0))</f>
        <v>-126242</v>
      </c>
      <c r="Q317" s="90">
        <f t="shared" si="16"/>
        <v>-126242</v>
      </c>
    </row>
    <row r="318" spans="1:17" s="181" customFormat="1" ht="12" customHeight="1">
      <c r="A318" s="62">
        <v>2344</v>
      </c>
      <c r="B318" s="66" t="s">
        <v>459</v>
      </c>
      <c r="C318" s="70">
        <v>0</v>
      </c>
      <c r="D318" s="70">
        <v>0</v>
      </c>
      <c r="E318" s="70">
        <v>0</v>
      </c>
      <c r="F318" s="70">
        <f>INDEX('Change in Proportion Layers'!$Z$8:$Z$321,MATCH('OPEB Amounts_Report'!A318,'Change in Proportion Layers'!$A$8:$A$321,0))</f>
        <v>0</v>
      </c>
      <c r="G318" s="70">
        <f t="shared" si="14"/>
        <v>0</v>
      </c>
      <c r="H318" s="70"/>
      <c r="I318" s="70">
        <v>0</v>
      </c>
      <c r="J318" s="70">
        <v>0</v>
      </c>
      <c r="K318" s="70">
        <v>0</v>
      </c>
      <c r="L318" s="296">
        <f>INDEX('Change in Proportion Layers'!$AA$8:$AA$321,MATCH('OPEB Amounts_Report'!A318,'Change in Proportion Layers'!$A$8:$A$321,0))</f>
        <v>525070</v>
      </c>
      <c r="M318" s="70">
        <f t="shared" si="15"/>
        <v>525070</v>
      </c>
      <c r="N318" s="71"/>
      <c r="O318" s="71">
        <v>0</v>
      </c>
      <c r="P318" s="71">
        <f>INDEX('Change in Proportion Layers'!$X$8:$X$321,MATCH('OPEB Amounts_Report'!A318,'Change in Proportion Layers'!$A$8:$A$321,0))</f>
        <v>-207195</v>
      </c>
      <c r="Q318" s="71">
        <f t="shared" si="16"/>
        <v>-207195</v>
      </c>
    </row>
    <row r="319" spans="1:17" s="181" customFormat="1" ht="12" customHeight="1">
      <c r="A319" s="254">
        <v>2418</v>
      </c>
      <c r="B319" s="255" t="s">
        <v>460</v>
      </c>
      <c r="C319" s="89">
        <v>0</v>
      </c>
      <c r="D319" s="89">
        <v>0</v>
      </c>
      <c r="E319" s="89">
        <v>0</v>
      </c>
      <c r="F319" s="297">
        <f>INDEX('Change in Proportion Layers'!$Z$8:$Z$321,MATCH('OPEB Amounts_Report'!A319,'Change in Proportion Layers'!$A$8:$A$321,0))</f>
        <v>0</v>
      </c>
      <c r="G319" s="89">
        <f t="shared" si="14"/>
        <v>0</v>
      </c>
      <c r="H319" s="89"/>
      <c r="I319" s="89">
        <v>0</v>
      </c>
      <c r="J319" s="89">
        <v>0</v>
      </c>
      <c r="K319" s="89">
        <v>0</v>
      </c>
      <c r="L319" s="89">
        <f>INDEX('Change in Proportion Layers'!$AA$8:$AA$321,MATCH('OPEB Amounts_Report'!A319,'Change in Proportion Layers'!$A$8:$A$321,0))</f>
        <v>217467</v>
      </c>
      <c r="M319" s="89">
        <f t="shared" si="15"/>
        <v>217467</v>
      </c>
      <c r="N319" s="90"/>
      <c r="O319" s="90">
        <v>0</v>
      </c>
      <c r="P319" s="90">
        <f>INDEX('Change in Proportion Layers'!$X$8:$X$321,MATCH('OPEB Amounts_Report'!A319,'Change in Proportion Layers'!$A$8:$A$321,0))</f>
        <v>-126433</v>
      </c>
      <c r="Q319" s="90">
        <f t="shared" si="16"/>
        <v>-126433</v>
      </c>
    </row>
    <row r="320" spans="1:17" s="181" customFormat="1" ht="12" customHeight="1">
      <c r="A320" s="62">
        <v>2345</v>
      </c>
      <c r="B320" s="66" t="s">
        <v>461</v>
      </c>
      <c r="C320" s="70">
        <v>0</v>
      </c>
      <c r="D320" s="70">
        <v>0</v>
      </c>
      <c r="E320" s="70">
        <v>0</v>
      </c>
      <c r="F320" s="70">
        <f>INDEX('Change in Proportion Layers'!$Z$8:$Z$321,MATCH('OPEB Amounts_Report'!A320,'Change in Proportion Layers'!$A$8:$A$321,0))</f>
        <v>0</v>
      </c>
      <c r="G320" s="70">
        <f t="shared" si="14"/>
        <v>0</v>
      </c>
      <c r="H320" s="70"/>
      <c r="I320" s="70">
        <v>0</v>
      </c>
      <c r="J320" s="70">
        <v>0</v>
      </c>
      <c r="K320" s="70">
        <v>0</v>
      </c>
      <c r="L320" s="70">
        <f>INDEX('Change in Proportion Layers'!$AA$8:$AA$321,MATCH('OPEB Amounts_Report'!A320,'Change in Proportion Layers'!$A$8:$A$321,0))</f>
        <v>186852</v>
      </c>
      <c r="M320" s="70">
        <f t="shared" si="15"/>
        <v>186852</v>
      </c>
      <c r="N320" s="71"/>
      <c r="O320" s="71">
        <v>0</v>
      </c>
      <c r="P320" s="71">
        <f>INDEX('Change in Proportion Layers'!$X$8:$X$321,MATCH('OPEB Amounts_Report'!A320,'Change in Proportion Layers'!$A$8:$A$321,0))</f>
        <v>-108636</v>
      </c>
      <c r="Q320" s="71">
        <f t="shared" si="16"/>
        <v>-108636</v>
      </c>
    </row>
    <row r="321" spans="1:17" s="181" customFormat="1" ht="12" customHeight="1">
      <c r="A321" s="254">
        <v>13430</v>
      </c>
      <c r="B321" s="255" t="s">
        <v>462</v>
      </c>
      <c r="C321" s="307">
        <v>0</v>
      </c>
      <c r="D321" s="307">
        <v>0</v>
      </c>
      <c r="E321" s="307">
        <v>0</v>
      </c>
      <c r="F321" s="307">
        <f>INDEX('Change in Proportion Layers'!$Z$8:$Z$321,MATCH('OPEB Amounts_Report'!A321,'Change in Proportion Layers'!$A$8:$A$321,0))</f>
        <v>0</v>
      </c>
      <c r="G321" s="307">
        <f t="shared" si="14"/>
        <v>0</v>
      </c>
      <c r="H321" s="303"/>
      <c r="I321" s="307">
        <v>0</v>
      </c>
      <c r="J321" s="307">
        <v>0</v>
      </c>
      <c r="K321" s="307">
        <v>0</v>
      </c>
      <c r="L321" s="303">
        <f>INDEX('Change in Proportion Layers'!$AA$8:$AA$321,MATCH('OPEB Amounts_Report'!A321,'Change in Proportion Layers'!$A$8:$A$321,0))</f>
        <v>324524</v>
      </c>
      <c r="M321" s="303">
        <f t="shared" si="15"/>
        <v>324524</v>
      </c>
      <c r="N321" s="311"/>
      <c r="O321" s="307">
        <v>0</v>
      </c>
      <c r="P321" s="311">
        <f>INDEX('Change in Proportion Layers'!$X$8:$X$321,MATCH('OPEB Amounts_Report'!A321,'Change in Proportion Layers'!$A$8:$A$321,0))</f>
        <v>-188678</v>
      </c>
      <c r="Q321" s="311">
        <f t="shared" si="16"/>
        <v>-188678</v>
      </c>
    </row>
    <row r="322" spans="1:17" ht="6.6" customHeight="1">
      <c r="A322" s="67"/>
      <c r="B322" s="57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7"/>
      <c r="O322" s="57"/>
      <c r="P322" s="57"/>
      <c r="Q322" s="57"/>
    </row>
    <row r="323" spans="1:17" ht="13.5" customHeight="1" thickBot="1">
      <c r="A323" s="68"/>
      <c r="B323" s="69"/>
      <c r="C323" s="72">
        <v>3290349790</v>
      </c>
      <c r="D323" s="72">
        <v>48109251</v>
      </c>
      <c r="E323" s="72">
        <v>658758492</v>
      </c>
      <c r="F323" s="72">
        <f>SUM(F10:F321)</f>
        <v>186315833</v>
      </c>
      <c r="G323" s="72">
        <f>SUM(G10:G321)</f>
        <v>893183576</v>
      </c>
      <c r="H323" s="72"/>
      <c r="I323" s="72">
        <v>524742358</v>
      </c>
      <c r="J323" s="72">
        <v>94315095</v>
      </c>
      <c r="K323" s="72">
        <v>1189578095</v>
      </c>
      <c r="L323" s="72">
        <f>SUM(L10:L321)</f>
        <v>186315833</v>
      </c>
      <c r="M323" s="72">
        <f>SUM(M10:M321)</f>
        <v>1994951381</v>
      </c>
      <c r="N323" s="72"/>
      <c r="O323" s="72">
        <v>-354343140</v>
      </c>
      <c r="P323" s="72">
        <f>SUM(P10:P321)</f>
        <v>0</v>
      </c>
      <c r="Q323" s="72">
        <f>SUM(Q10:Q321)</f>
        <v>-354343140</v>
      </c>
    </row>
    <row r="324" spans="1:17" ht="12" customHeight="1" thickTop="1">
      <c r="A324" s="168" t="s">
        <v>464</v>
      </c>
      <c r="B324" s="219"/>
      <c r="C324" s="167"/>
      <c r="D324" s="167"/>
      <c r="E324" s="167"/>
      <c r="F324" s="167"/>
      <c r="G324" s="167"/>
      <c r="H324" s="167"/>
      <c r="I324" s="167"/>
      <c r="J324" s="167"/>
      <c r="K324" s="167"/>
      <c r="L324" s="167"/>
      <c r="M324" s="167"/>
      <c r="N324" s="167"/>
      <c r="O324" s="167"/>
      <c r="P324" s="167"/>
      <c r="Q324" s="167"/>
    </row>
    <row r="325" spans="1:17" ht="12" customHeight="1">
      <c r="A325" s="168" t="s">
        <v>465</v>
      </c>
      <c r="D325"/>
    </row>
    <row r="326" spans="1:17" ht="12" customHeight="1">
      <c r="A326" s="168" t="s">
        <v>466</v>
      </c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7" ht="12" customHeight="1">
      <c r="C327" s="92">
        <f>SUM(C10:C321)-C323</f>
        <v>0</v>
      </c>
      <c r="D327" s="92">
        <f t="shared" ref="D327:E327" si="19">SUM(D10:D321)-D323</f>
        <v>0</v>
      </c>
      <c r="E327" s="92">
        <f t="shared" si="19"/>
        <v>0</v>
      </c>
      <c r="F327" s="92"/>
      <c r="G327" s="92"/>
      <c r="H327" s="92"/>
      <c r="I327" s="92">
        <f t="shared" ref="I327:N327" si="20">SUM(I10:I321)-I323</f>
        <v>0</v>
      </c>
      <c r="J327" s="92">
        <f t="shared" si="20"/>
        <v>0</v>
      </c>
      <c r="K327" s="92">
        <f t="shared" si="20"/>
        <v>0</v>
      </c>
      <c r="L327" s="92">
        <f t="shared" si="20"/>
        <v>0</v>
      </c>
      <c r="M327" s="92">
        <f t="shared" si="20"/>
        <v>0</v>
      </c>
      <c r="N327" s="92">
        <f t="shared" si="20"/>
        <v>0</v>
      </c>
      <c r="O327" s="92">
        <f>SUM(O10:O321)-O323</f>
        <v>0</v>
      </c>
      <c r="Q327" s="92">
        <f>SUM(Q10:Q321)-Q323</f>
        <v>0</v>
      </c>
    </row>
    <row r="329" spans="1:17" ht="12" customHeight="1">
      <c r="O329" s="183"/>
    </row>
    <row r="330" spans="1:17" ht="12" customHeight="1">
      <c r="M330" s="166"/>
    </row>
    <row r="331" spans="1:17" ht="12" customHeight="1">
      <c r="M331" s="201"/>
    </row>
    <row r="332" spans="1:17" ht="12" customHeight="1">
      <c r="M332" s="202"/>
    </row>
  </sheetData>
  <mergeCells count="6">
    <mergeCell ref="I6:M6"/>
    <mergeCell ref="O6:Q6"/>
    <mergeCell ref="D6:G6"/>
    <mergeCell ref="A1:Q1"/>
    <mergeCell ref="A2:Q2"/>
    <mergeCell ref="A3:Q3"/>
  </mergeCells>
  <pageMargins left="0.7" right="0.7" top="0.5" bottom="0.5" header="0.5" footer="0.5"/>
  <pageSetup scale="51" firstPageNumber="8" fitToHeight="0" orientation="landscape" useFirstPageNumber="1" r:id="rId1"/>
  <headerFooter differentOddEven="1" scaleWithDoc="0">
    <oddFooter>&amp;R&amp;"Arial,Regular"&amp;10&amp;P</oddFooter>
    <evenFooter>&amp;R&amp;"Arial,Regular"&amp;10&amp;P</evenFooter>
  </headerFooter>
  <rowBreaks count="6" manualBreakCount="6">
    <brk id="57" max="16" man="1"/>
    <brk id="105" max="16" man="1"/>
    <brk id="153" max="16" man="1"/>
    <brk id="201" max="16" man="1"/>
    <brk id="249" max="16" man="1"/>
    <brk id="29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Y341"/>
  <sheetViews>
    <sheetView view="pageBreakPreview" zoomScaleNormal="90" zoomScaleSheetLayoutView="100" workbookViewId="0">
      <selection activeCell="A10" sqref="A10:G10"/>
    </sheetView>
  </sheetViews>
  <sheetFormatPr defaultRowHeight="15"/>
  <cols>
    <col min="1" max="1" width="12.7109375" customWidth="1"/>
    <col min="2" max="2" width="68" customWidth="1"/>
    <col min="3" max="4" width="15" customWidth="1"/>
    <col min="5" max="5" width="15.28515625" customWidth="1"/>
    <col min="6" max="6" width="15.5703125" customWidth="1"/>
    <col min="7" max="7" width="15" customWidth="1"/>
    <col min="8" max="8" width="3.42578125" customWidth="1"/>
    <col min="9" max="9" width="12" customWidth="1"/>
    <col min="10" max="10" width="16" bestFit="1" customWidth="1"/>
    <col min="11" max="15" width="16.42578125" customWidth="1"/>
    <col min="17" max="21" width="14.42578125" customWidth="1"/>
    <col min="23" max="23" width="14.42578125" customWidth="1"/>
    <col min="24" max="24" width="12.5703125" bestFit="1" customWidth="1"/>
  </cols>
  <sheetData>
    <row r="1" spans="1:24" ht="18">
      <c r="A1" s="408" t="s">
        <v>392</v>
      </c>
      <c r="B1" s="408"/>
      <c r="C1" s="408"/>
      <c r="D1" s="408"/>
      <c r="E1" s="408"/>
      <c r="F1" s="408"/>
      <c r="G1" s="408"/>
    </row>
    <row r="2" spans="1:24" ht="15.75">
      <c r="A2" s="409" t="s">
        <v>395</v>
      </c>
      <c r="B2" s="409"/>
      <c r="C2" s="409"/>
      <c r="D2" s="409"/>
      <c r="E2" s="409"/>
      <c r="F2" s="409"/>
      <c r="G2" s="409"/>
    </row>
    <row r="3" spans="1:24" ht="15.75">
      <c r="A3" s="412" t="s">
        <v>476</v>
      </c>
      <c r="B3" s="409"/>
      <c r="C3" s="409"/>
      <c r="D3" s="409"/>
      <c r="E3" s="409"/>
      <c r="F3" s="409"/>
      <c r="G3" s="409"/>
    </row>
    <row r="6" spans="1:24" s="8" customFormat="1">
      <c r="A6" s="1"/>
      <c r="B6" s="1"/>
      <c r="C6" s="411" t="s">
        <v>301</v>
      </c>
      <c r="D6" s="411"/>
      <c r="E6" s="411"/>
      <c r="F6" s="411"/>
      <c r="G6" s="411"/>
      <c r="K6" s="411" t="s">
        <v>301</v>
      </c>
      <c r="L6" s="411"/>
      <c r="M6" s="411"/>
      <c r="N6" s="411"/>
      <c r="O6" s="411"/>
      <c r="Q6" s="411" t="s">
        <v>301</v>
      </c>
      <c r="R6" s="411"/>
      <c r="S6" s="411"/>
      <c r="T6" s="411"/>
      <c r="U6" s="411"/>
    </row>
    <row r="7" spans="1:24" s="8" customFormat="1" ht="34.35" customHeight="1">
      <c r="A7" s="45" t="s">
        <v>0</v>
      </c>
      <c r="B7" s="46" t="s">
        <v>1</v>
      </c>
      <c r="C7" s="244" t="s">
        <v>302</v>
      </c>
      <c r="D7" s="244" t="s">
        <v>303</v>
      </c>
      <c r="E7" s="244" t="s">
        <v>428</v>
      </c>
      <c r="F7" s="244" t="s">
        <v>436</v>
      </c>
      <c r="G7" s="44" t="s">
        <v>463</v>
      </c>
      <c r="J7" s="165" t="s">
        <v>386</v>
      </c>
      <c r="K7" s="244" t="s">
        <v>302</v>
      </c>
      <c r="L7" s="244" t="s">
        <v>303</v>
      </c>
      <c r="M7" s="244" t="s">
        <v>428</v>
      </c>
      <c r="N7" s="244" t="s">
        <v>436</v>
      </c>
      <c r="O7" s="44" t="s">
        <v>463</v>
      </c>
      <c r="P7" s="165" t="s">
        <v>386</v>
      </c>
      <c r="Q7" s="244" t="s">
        <v>302</v>
      </c>
      <c r="R7" s="244" t="s">
        <v>303</v>
      </c>
      <c r="S7" s="244" t="s">
        <v>428</v>
      </c>
      <c r="T7" s="244" t="s">
        <v>436</v>
      </c>
      <c r="U7" s="244" t="s">
        <v>463</v>
      </c>
    </row>
    <row r="8" spans="1:24" s="8" customFormat="1">
      <c r="A8" s="2"/>
      <c r="B8" s="2"/>
      <c r="C8" s="243" t="s">
        <v>304</v>
      </c>
      <c r="D8" s="243" t="s">
        <v>331</v>
      </c>
      <c r="E8" s="243" t="s">
        <v>332</v>
      </c>
      <c r="F8" s="243" t="s">
        <v>333</v>
      </c>
      <c r="G8" s="243" t="s">
        <v>334</v>
      </c>
      <c r="K8" s="410" t="s">
        <v>388</v>
      </c>
      <c r="L8" s="410"/>
      <c r="M8" s="410"/>
      <c r="N8" s="410"/>
      <c r="O8" s="410"/>
      <c r="Q8" s="410" t="s">
        <v>373</v>
      </c>
      <c r="R8" s="410"/>
      <c r="S8" s="410"/>
      <c r="T8" s="410"/>
      <c r="U8" s="410"/>
      <c r="X8" s="8" t="s">
        <v>385</v>
      </c>
    </row>
    <row r="9" spans="1:24" s="8" customFormat="1">
      <c r="A9" s="91"/>
      <c r="B9" s="91"/>
      <c r="C9" s="43"/>
      <c r="D9" s="43"/>
      <c r="E9" s="43"/>
      <c r="F9" s="43"/>
      <c r="G9" s="43"/>
    </row>
    <row r="10" spans="1:24" s="8" customFormat="1">
      <c r="A10" s="28">
        <v>1341</v>
      </c>
      <c r="B10" s="29" t="s">
        <v>5</v>
      </c>
      <c r="C10" s="49">
        <f>+Q10</f>
        <v>-113002101</v>
      </c>
      <c r="D10" s="49">
        <f>+R10</f>
        <v>-71105438</v>
      </c>
      <c r="E10" s="49">
        <f>+S10</f>
        <v>-40776759</v>
      </c>
      <c r="F10" s="49">
        <f>+T10</f>
        <v>-8960885</v>
      </c>
      <c r="G10" s="49">
        <f>+U10</f>
        <v>-32307473</v>
      </c>
      <c r="I10" s="51"/>
      <c r="K10" s="156">
        <f>ROUND(VLOOKUP($A10,'Contribution Allocation_Report'!$A$9:$D$310,4,FALSE)*$K$323,0)-4</f>
        <v>-113081531</v>
      </c>
      <c r="L10" s="156">
        <f>ROUND(VLOOKUP($A10,'Contribution Allocation_Report'!$A$9:$D$308,4,FALSE)*$L$323,0)-1</f>
        <v>-71162890</v>
      </c>
      <c r="M10" s="156">
        <f>ROUND(VLOOKUP($A10,'Contribution Allocation_Report'!$A$9:$D$308,4,FALSE)*$M$323,0)-2</f>
        <v>-40433454</v>
      </c>
      <c r="N10" s="156">
        <f>ROUND(VLOOKUP($A10,'Contribution Allocation_Report'!$A$9:$D$308,4,FALSE)*$N$323,0)+8</f>
        <v>-8040095</v>
      </c>
      <c r="O10" s="156">
        <f>ROUND(VLOOKUP($A10,'Contribution Allocation_Report'!$A$9:$D$308,4,FALSE)*$O$323,0)+6</f>
        <v>-33067090</v>
      </c>
      <c r="Q10" s="156">
        <f>+K10+VLOOKUP(A10,'Change in Proportion Layers'!$A$8:$I$321,3,FALSE)+VLOOKUP(A10,'Change in Proportion Layers'!$A$8:$V$321,10,FALSE)+VLOOKUP(A10,'Change in Proportion Layers'!$A$8:$V$321,16,FALSE)+VLOOKUP(A10,'Change in Proportion Layers'!$A$8:$V$321,21,FALSE)+2</f>
        <v>-113002101</v>
      </c>
      <c r="R10" s="156">
        <f>+L10+VLOOKUP(A10,'Change in Proportion Layers'!$A$8:$V$321,4,FALSE)+VLOOKUP(A10,'Change in Proportion Layers'!$A$8:$V$321,11,FALSE)+VLOOKUP(A10,'Change in Proportion Layers'!$A$8:$V$321,17,FALSE)+VLOOKUP(A10,'Change in Proportion Layers'!$A$8:$V$321,22,FALSE)-3</f>
        <v>-71105438</v>
      </c>
      <c r="S10" s="156">
        <f>+M10+VLOOKUP(A10,'Change in Proportion Layers'!$A$8:$V$321,5,FALSE)+VLOOKUP(A10,'Change in Proportion Layers'!$A$8:$V$321,12,FALSE)+VLOOKUP(A10,'Change in Proportion Layers'!$A$8:$V$321,18,FALSE)+2</f>
        <v>-40776759</v>
      </c>
      <c r="T10" s="156">
        <f>+N10+VLOOKUP(A10,'Change in Proportion Layers'!$A$8:$V$321,6,FALSE)+VLOOKUP(A10,'Change in Proportion Layers'!$A$8:$V$321,13,FALSE)-9</f>
        <v>-8960885</v>
      </c>
      <c r="U10" s="156">
        <f>+O10+VLOOKUP(A10,'Change in Proportion Layers'!$A$8:$V$321,7,FALSE)+14</f>
        <v>-32307473</v>
      </c>
      <c r="W10" s="156">
        <f>('OPEB Amounts_Report'!G10-'OPEB Amounts_Report'!M10)</f>
        <v>-266152655</v>
      </c>
      <c r="X10" s="282">
        <f>SUM(Q10:U10)-('OPEB Amounts_Report'!G10-'OPEB Amounts_Report'!M10)</f>
        <v>-1</v>
      </c>
    </row>
    <row r="11" spans="1:24" s="8" customFormat="1">
      <c r="A11" s="30">
        <v>2308</v>
      </c>
      <c r="B11" s="31" t="s">
        <v>6</v>
      </c>
      <c r="C11" s="48">
        <f t="shared" ref="C11:C75" si="0">+Q11</f>
        <v>-88520</v>
      </c>
      <c r="D11" s="48">
        <f t="shared" ref="D11:D75" si="1">+R11</f>
        <v>-21404</v>
      </c>
      <c r="E11" s="48">
        <f t="shared" ref="E11:E75" si="2">+S11</f>
        <v>16852</v>
      </c>
      <c r="F11" s="48">
        <f t="shared" ref="F11:F75" si="3">+T11</f>
        <v>42334</v>
      </c>
      <c r="G11" s="48">
        <f t="shared" ref="G11:G75" si="4">+U11</f>
        <v>7486</v>
      </c>
      <c r="I11" s="51"/>
      <c r="K11" s="156">
        <f>ROUND(VLOOKUP($A11,'Contribution Allocation_Report'!$A$9:$D$310,4,FALSE)*$K$323,0)</f>
        <v>-176348</v>
      </c>
      <c r="L11" s="156">
        <f>ROUND(VLOOKUP($A11,'Contribution Allocation_Report'!$A$9:$D$310,4,FALSE)*$L$323,0)</f>
        <v>-110977</v>
      </c>
      <c r="M11" s="156">
        <f>ROUND(VLOOKUP($A11,'Contribution Allocation_Report'!$A$9:$D$310,4,FALSE)*$M$323,0)</f>
        <v>-63055</v>
      </c>
      <c r="N11" s="156">
        <f>ROUND(VLOOKUP($A11,'Contribution Allocation_Report'!$A$9:$D$310,4,FALSE)*$N$323,0)</f>
        <v>-12538</v>
      </c>
      <c r="O11" s="156">
        <f>ROUND(VLOOKUP($A11,'Contribution Allocation_Report'!$A$9:$D$310,4,FALSE)*$O$323,0)</f>
        <v>-51567</v>
      </c>
      <c r="Q11" s="246">
        <f>+K11+VLOOKUP(A11,'Change in Proportion Layers'!$A$8:$I$321,3,FALSE)+VLOOKUP(A11,'Change in Proportion Layers'!$A$8:$V$321,10,FALSE)+VLOOKUP(A11,'Change in Proportion Layers'!$A$8:$V$321,16,FALSE)+VLOOKUP(A11,'Change in Proportion Layers'!$A$8:$V$321,21,FALSE)</f>
        <v>-88520</v>
      </c>
      <c r="R11" s="246">
        <f>+L11+VLOOKUP(A11,'Change in Proportion Layers'!$A$8:$V$321,4,FALSE)+VLOOKUP(A11,'Change in Proportion Layers'!$A$8:$V$321,11,FALSE)+VLOOKUP(A11,'Change in Proportion Layers'!$A$8:$V$321,17,FALSE)+VLOOKUP(A11,'Change in Proportion Layers'!$A$8:$V$321,22,FALSE)</f>
        <v>-21404</v>
      </c>
      <c r="S11" s="246">
        <f>+M11+VLOOKUP(A11,'Change in Proportion Layers'!$A$8:$V$321,5,FALSE)+VLOOKUP(A11,'Change in Proportion Layers'!$A$8:$V$321,12,FALSE)+VLOOKUP(A11,'Change in Proportion Layers'!$A$8:$V$321,18,FALSE)</f>
        <v>16852</v>
      </c>
      <c r="T11" s="246">
        <f>+N11+VLOOKUP(A11,'Change in Proportion Layers'!$A$8:$V$321,6,FALSE)+VLOOKUP(A11,'Change in Proportion Layers'!$A$8:$V$321,13,FALSE)</f>
        <v>42334</v>
      </c>
      <c r="U11" s="246">
        <f>+O11+VLOOKUP(A11,'Change in Proportion Layers'!$A$8:$V$321,7,FALSE)+1</f>
        <v>7486</v>
      </c>
      <c r="W11" s="246">
        <f>('OPEB Amounts_Report'!G11-'OPEB Amounts_Report'!M11)</f>
        <v>-43252</v>
      </c>
      <c r="X11" s="282">
        <f>SUM(Q11:U11)-('OPEB Amounts_Report'!G11-'OPEB Amounts_Report'!M11)</f>
        <v>0</v>
      </c>
    </row>
    <row r="12" spans="1:24" s="8" customFormat="1">
      <c r="A12" s="28">
        <v>2340</v>
      </c>
      <c r="B12" s="29" t="s">
        <v>7</v>
      </c>
      <c r="C12" s="47">
        <f t="shared" si="0"/>
        <v>-196085</v>
      </c>
      <c r="D12" s="47">
        <f t="shared" si="1"/>
        <v>-126506</v>
      </c>
      <c r="E12" s="47">
        <f t="shared" si="2"/>
        <v>-74386</v>
      </c>
      <c r="F12" s="47">
        <f t="shared" si="3"/>
        <v>-15343</v>
      </c>
      <c r="G12" s="47">
        <f t="shared" si="4"/>
        <v>-46995</v>
      </c>
      <c r="I12" s="51"/>
      <c r="K12" s="156">
        <f>ROUND(VLOOKUP($A12,'Contribution Allocation_Report'!$A$9:$D$310,4,FALSE)*$K$323,0)</f>
        <v>-189754</v>
      </c>
      <c r="L12" s="156">
        <f>ROUND(VLOOKUP($A12,'Contribution Allocation_Report'!$A$9:$D$310,4,FALSE)*$L$323,0)</f>
        <v>-119414</v>
      </c>
      <c r="M12" s="156">
        <f>ROUND(VLOOKUP($A12,'Contribution Allocation_Report'!$A$9:$D$310,4,FALSE)*$M$323,0)</f>
        <v>-67849</v>
      </c>
      <c r="N12" s="156">
        <f>ROUND(VLOOKUP($A12,'Contribution Allocation_Report'!$A$9:$D$310,4,FALSE)*$N$323,0)</f>
        <v>-13492</v>
      </c>
      <c r="O12" s="246">
        <f>ROUND(VLOOKUP($A12,'Contribution Allocation_Report'!$A$9:$D$310,4,FALSE)*$O$323,0)</f>
        <v>-55488</v>
      </c>
      <c r="Q12" s="246">
        <f>+K12+VLOOKUP(A12,'Change in Proportion Layers'!$A$8:$I$321,3,FALSE)+VLOOKUP(A12,'Change in Proportion Layers'!$A$8:$V$321,10,FALSE)+VLOOKUP(A12,'Change in Proportion Layers'!$A$8:$V$321,16,FALSE)+VLOOKUP(A12,'Change in Proportion Layers'!$A$8:$V$321,21,FALSE)</f>
        <v>-196085</v>
      </c>
      <c r="R12" s="246">
        <f>+L12+VLOOKUP(A12,'Change in Proportion Layers'!$A$8:$V$321,4,FALSE)+VLOOKUP(A12,'Change in Proportion Layers'!$A$8:$V$321,11,FALSE)+VLOOKUP(A12,'Change in Proportion Layers'!$A$8:$V$321,17,FALSE)+VLOOKUP(A12,'Change in Proportion Layers'!$A$8:$V$321,22,FALSE)</f>
        <v>-126506</v>
      </c>
      <c r="S12" s="246">
        <f>+M12+VLOOKUP(A12,'Change in Proportion Layers'!$A$8:$V$321,5,FALSE)+VLOOKUP(A12,'Change in Proportion Layers'!$A$8:$V$321,12,FALSE)+VLOOKUP(A12,'Change in Proportion Layers'!$A$8:$V$321,18,FALSE)</f>
        <v>-74386</v>
      </c>
      <c r="T12" s="246">
        <f>+N12+VLOOKUP(A12,'Change in Proportion Layers'!$A$8:$V$321,6,FALSE)+VLOOKUP(A12,'Change in Proportion Layers'!$A$8:$V$321,13,FALSE)</f>
        <v>-15343</v>
      </c>
      <c r="U12" s="246">
        <f>+O12+VLOOKUP(A12,'Change in Proportion Layers'!$A$8:$V$321,7,FALSE)+1</f>
        <v>-46995</v>
      </c>
      <c r="W12" s="246">
        <f>('OPEB Amounts_Report'!G12-'OPEB Amounts_Report'!M12)</f>
        <v>-459315</v>
      </c>
      <c r="X12" s="282">
        <f>SUM(Q12:U12)-('OPEB Amounts_Report'!G12-'OPEB Amounts_Report'!M12)</f>
        <v>0</v>
      </c>
    </row>
    <row r="13" spans="1:24" s="8" customFormat="1">
      <c r="A13" s="30">
        <v>1301</v>
      </c>
      <c r="B13" s="31" t="s">
        <v>8</v>
      </c>
      <c r="C13" s="48">
        <f t="shared" si="0"/>
        <v>-167681</v>
      </c>
      <c r="D13" s="48">
        <f t="shared" si="1"/>
        <v>-80263</v>
      </c>
      <c r="E13" s="48">
        <f t="shared" si="2"/>
        <v>-17286</v>
      </c>
      <c r="F13" s="48">
        <f t="shared" si="3"/>
        <v>30477</v>
      </c>
      <c r="G13" s="48">
        <f t="shared" si="4"/>
        <v>-30597</v>
      </c>
      <c r="I13" s="51"/>
      <c r="K13" s="156">
        <f>ROUND(VLOOKUP($A13,'Contribution Allocation_Report'!$A$9:$D$310,4,FALSE)*$K$323,0)</f>
        <v>-224068</v>
      </c>
      <c r="L13" s="156">
        <f>ROUND(VLOOKUP($A13,'Contribution Allocation_Report'!$A$9:$D$310,4,FALSE)*$L$323,0)</f>
        <v>-141007</v>
      </c>
      <c r="M13" s="156">
        <f>ROUND(VLOOKUP($A13,'Contribution Allocation_Report'!$A$9:$D$310,4,FALSE)*$M$323,0)</f>
        <v>-80118</v>
      </c>
      <c r="N13" s="156">
        <f>ROUND(VLOOKUP($A13,'Contribution Allocation_Report'!$A$9:$D$310,4,FALSE)*$N$323,0)</f>
        <v>-15931</v>
      </c>
      <c r="O13" s="246">
        <f>ROUND(VLOOKUP($A13,'Contribution Allocation_Report'!$A$9:$D$310,4,FALSE)*$O$323,0)</f>
        <v>-65521</v>
      </c>
      <c r="Q13" s="246">
        <f>+K13+VLOOKUP(A13,'Change in Proportion Layers'!$A$8:$I$321,3,FALSE)+VLOOKUP(A13,'Change in Proportion Layers'!$A$8:$V$321,10,FALSE)+VLOOKUP(A13,'Change in Proportion Layers'!$A$8:$V$321,16,FALSE)+VLOOKUP(A13,'Change in Proportion Layers'!$A$8:$V$321,21,FALSE)</f>
        <v>-167681</v>
      </c>
      <c r="R13" s="246">
        <f>+L13+VLOOKUP(A13,'Change in Proportion Layers'!$A$8:$V$321,4,FALSE)+VLOOKUP(A13,'Change in Proportion Layers'!$A$8:$V$321,11,FALSE)+VLOOKUP(A13,'Change in Proportion Layers'!$A$8:$V$321,17,FALSE)+VLOOKUP(A13,'Change in Proportion Layers'!$A$8:$V$321,22,FALSE)</f>
        <v>-80263</v>
      </c>
      <c r="S13" s="246">
        <f>+M13+VLOOKUP(A13,'Change in Proportion Layers'!$A$8:$V$321,5,FALSE)+VLOOKUP(A13,'Change in Proportion Layers'!$A$8:$V$321,12,FALSE)+VLOOKUP(A13,'Change in Proportion Layers'!$A$8:$V$321,18,FALSE)</f>
        <v>-17286</v>
      </c>
      <c r="T13" s="246">
        <f>+N13+VLOOKUP(A13,'Change in Proportion Layers'!$A$8:$V$321,6,FALSE)+VLOOKUP(A13,'Change in Proportion Layers'!$A$8:$V$321,13,FALSE)</f>
        <v>30477</v>
      </c>
      <c r="U13" s="246">
        <f>+O13+VLOOKUP(A13,'Change in Proportion Layers'!$A$8:$V$321,7,FALSE)</f>
        <v>-30597</v>
      </c>
      <c r="W13" s="246">
        <f>('OPEB Amounts_Report'!G13-'OPEB Amounts_Report'!M13)</f>
        <v>-265350</v>
      </c>
      <c r="X13" s="282">
        <f>SUM(Q13:U13)-('OPEB Amounts_Report'!G13-'OPEB Amounts_Report'!M13)</f>
        <v>0</v>
      </c>
    </row>
    <row r="14" spans="1:24" s="8" customFormat="1">
      <c r="A14" s="28">
        <v>2390</v>
      </c>
      <c r="B14" s="29" t="s">
        <v>9</v>
      </c>
      <c r="C14" s="47">
        <f t="shared" si="0"/>
        <v>-235128</v>
      </c>
      <c r="D14" s="47">
        <f t="shared" si="1"/>
        <v>-172926</v>
      </c>
      <c r="E14" s="47">
        <f t="shared" si="2"/>
        <v>-96854</v>
      </c>
      <c r="F14" s="47">
        <f t="shared" si="3"/>
        <v>-18307</v>
      </c>
      <c r="G14" s="47">
        <f t="shared" si="4"/>
        <v>-26567</v>
      </c>
      <c r="I14" s="51"/>
      <c r="K14" s="156">
        <f>ROUND(VLOOKUP($A14,'Contribution Allocation_Report'!$A$9:$D$310,4,FALSE)*$K$323,0)</f>
        <v>-151644</v>
      </c>
      <c r="L14" s="156">
        <f>ROUND(VLOOKUP($A14,'Contribution Allocation_Report'!$A$9:$D$310,4,FALSE)*$L$323,0)</f>
        <v>-95431</v>
      </c>
      <c r="M14" s="156">
        <f>ROUND(VLOOKUP($A14,'Contribution Allocation_Report'!$A$9:$D$310,4,FALSE)*$M$323,0)</f>
        <v>-54222</v>
      </c>
      <c r="N14" s="156">
        <f>ROUND(VLOOKUP($A14,'Contribution Allocation_Report'!$A$9:$D$310,4,FALSE)*$N$323,0)</f>
        <v>-10782</v>
      </c>
      <c r="O14" s="246">
        <f>ROUND(VLOOKUP($A14,'Contribution Allocation_Report'!$A$9:$D$310,4,FALSE)*$O$323,0)</f>
        <v>-44343</v>
      </c>
      <c r="Q14" s="246">
        <f>+K14+VLOOKUP(A14,'Change in Proportion Layers'!$A$8:$I$321,3,FALSE)+VLOOKUP(A14,'Change in Proportion Layers'!$A$8:$V$321,10,FALSE)+VLOOKUP(A14,'Change in Proportion Layers'!$A$8:$V$321,16,FALSE)+VLOOKUP(A14,'Change in Proportion Layers'!$A$8:$V$321,21,FALSE)</f>
        <v>-235128</v>
      </c>
      <c r="R14" s="246">
        <f>+L14+VLOOKUP(A14,'Change in Proportion Layers'!$A$8:$V$321,4,FALSE)+VLOOKUP(A14,'Change in Proportion Layers'!$A$8:$V$321,11,FALSE)+VLOOKUP(A14,'Change in Proportion Layers'!$A$8:$V$321,17,FALSE)+VLOOKUP(A14,'Change in Proportion Layers'!$A$8:$V$321,22,FALSE)</f>
        <v>-172926</v>
      </c>
      <c r="S14" s="246">
        <f>+M14+VLOOKUP(A14,'Change in Proportion Layers'!$A$8:$V$321,5,FALSE)+VLOOKUP(A14,'Change in Proportion Layers'!$A$8:$V$321,12,FALSE)+VLOOKUP(A14,'Change in Proportion Layers'!$A$8:$V$321,18,FALSE)</f>
        <v>-96854</v>
      </c>
      <c r="T14" s="246">
        <f>+N14+VLOOKUP(A14,'Change in Proportion Layers'!$A$8:$V$321,6,FALSE)+VLOOKUP(A14,'Change in Proportion Layers'!$A$8:$V$321,13,FALSE)</f>
        <v>-18307</v>
      </c>
      <c r="U14" s="246">
        <f>+O14+VLOOKUP(A14,'Change in Proportion Layers'!$A$8:$V$321,7,FALSE)-1</f>
        <v>-26567</v>
      </c>
      <c r="W14" s="246">
        <f>('OPEB Amounts_Report'!G14-'OPEB Amounts_Report'!M14)</f>
        <v>-549782</v>
      </c>
      <c r="X14" s="282">
        <f>SUM(Q14:U14)-('OPEB Amounts_Report'!G14-'OPEB Amounts_Report'!M14)</f>
        <v>0</v>
      </c>
    </row>
    <row r="15" spans="1:24" s="217" customFormat="1">
      <c r="A15" s="237">
        <v>2441</v>
      </c>
      <c r="B15" s="238" t="s">
        <v>444</v>
      </c>
      <c r="C15" s="48">
        <f t="shared" ref="C15" si="5">+Q15</f>
        <v>27597</v>
      </c>
      <c r="D15" s="48">
        <f t="shared" ref="D15" si="6">+R15</f>
        <v>41655</v>
      </c>
      <c r="E15" s="48">
        <f t="shared" ref="E15" si="7">+S15</f>
        <v>51960</v>
      </c>
      <c r="F15" s="48">
        <f t="shared" ref="F15" si="8">+T15</f>
        <v>62824</v>
      </c>
      <c r="G15" s="48">
        <f t="shared" ref="G15" si="9">+U15</f>
        <v>53123</v>
      </c>
      <c r="I15" s="247"/>
      <c r="K15" s="246">
        <f>ROUND(VLOOKUP($A15,'Contribution Allocation_Report'!$A$9:$D$310,4,FALSE)*$K$323,0)</f>
        <v>-37923</v>
      </c>
      <c r="L15" s="246">
        <f>ROUND(VLOOKUP($A15,'Contribution Allocation_Report'!$A$9:$D$310,4,FALSE)*$L$323,0)</f>
        <v>-23865</v>
      </c>
      <c r="M15" s="246">
        <f>ROUND(VLOOKUP($A15,'Contribution Allocation_Report'!$A$9:$D$310,4,FALSE)*$M$323,0)</f>
        <v>-13560</v>
      </c>
      <c r="N15" s="246">
        <f>ROUND(VLOOKUP($A15,'Contribution Allocation_Report'!$A$9:$D$310,4,FALSE)*$N$323,0)</f>
        <v>-2696</v>
      </c>
      <c r="O15" s="246">
        <f>ROUND(VLOOKUP($A15,'Contribution Allocation_Report'!$A$9:$D$310,4,FALSE)*$O$323,0)</f>
        <v>-11089</v>
      </c>
      <c r="Q15" s="246">
        <f>+K15+VLOOKUP(A15,'Change in Proportion Layers'!$A$8:$I$321,3,FALSE)+VLOOKUP(A15,'Change in Proportion Layers'!$A$8:$V$321,10,FALSE)+VLOOKUP(A15,'Change in Proportion Layers'!$A$8:$V$321,16,FALSE)+VLOOKUP(A15,'Change in Proportion Layers'!$A$8:$V$321,21,FALSE)</f>
        <v>27597</v>
      </c>
      <c r="R15" s="246">
        <f>+L15+VLOOKUP(A15,'Change in Proportion Layers'!$A$8:$V$321,4,FALSE)+VLOOKUP(A15,'Change in Proportion Layers'!$A$8:$V$321,11,FALSE)+VLOOKUP(A15,'Change in Proportion Layers'!$A$8:$V$321,17,FALSE)+VLOOKUP(A15,'Change in Proportion Layers'!$A$8:$V$321,22,FALSE)</f>
        <v>41655</v>
      </c>
      <c r="S15" s="246">
        <f>+M15+VLOOKUP(A15,'Change in Proportion Layers'!$A$8:$V$321,5,FALSE)+VLOOKUP(A15,'Change in Proportion Layers'!$A$8:$V$321,12,FALSE)+VLOOKUP(A15,'Change in Proportion Layers'!$A$8:$V$321,18,FALSE)</f>
        <v>51960</v>
      </c>
      <c r="T15" s="246">
        <f>+N15+VLOOKUP(A15,'Change in Proportion Layers'!$A$8:$V$321,6,FALSE)+VLOOKUP(A15,'Change in Proportion Layers'!$A$8:$V$321,13,FALSE)</f>
        <v>62824</v>
      </c>
      <c r="U15" s="246">
        <f>+O15+VLOOKUP(A15,'Change in Proportion Layers'!$A$8:$V$321,7,FALSE)</f>
        <v>53123</v>
      </c>
      <c r="W15" s="246">
        <f>('OPEB Amounts_Report'!G15-'OPEB Amounts_Report'!M15)</f>
        <v>237159</v>
      </c>
      <c r="X15" s="282">
        <f>SUM(Q15:U15)-('OPEB Amounts_Report'!G15-'OPEB Amounts_Report'!M15)</f>
        <v>0</v>
      </c>
    </row>
    <row r="16" spans="1:24" s="8" customFormat="1">
      <c r="A16" s="235">
        <v>15046</v>
      </c>
      <c r="B16" s="236" t="s">
        <v>10</v>
      </c>
      <c r="C16" s="245">
        <f t="shared" si="0"/>
        <v>-3078067</v>
      </c>
      <c r="D16" s="245">
        <f t="shared" si="1"/>
        <v>-1828399</v>
      </c>
      <c r="E16" s="245">
        <f t="shared" si="2"/>
        <v>-853443</v>
      </c>
      <c r="F16" s="245">
        <f t="shared" si="3"/>
        <v>95010</v>
      </c>
      <c r="G16" s="245">
        <f t="shared" si="4"/>
        <v>-1003310</v>
      </c>
      <c r="I16" s="51"/>
      <c r="K16" s="156">
        <f>ROUND(VLOOKUP($A16,'Contribution Allocation_Report'!$A$9:$D$310,4,FALSE)*$K$323,0)</f>
        <v>-3294825</v>
      </c>
      <c r="L16" s="156">
        <f>ROUND(VLOOKUP($A16,'Contribution Allocation_Report'!$A$9:$D$310,4,FALSE)*$L$323,0)</f>
        <v>-2073453</v>
      </c>
      <c r="M16" s="156">
        <f>ROUND(VLOOKUP($A16,'Contribution Allocation_Report'!$A$9:$D$310,4,FALSE)*$M$323,0)</f>
        <v>-1178098</v>
      </c>
      <c r="N16" s="156">
        <f>ROUND(VLOOKUP($A16,'Contribution Allocation_Report'!$A$9:$D$310,4,FALSE)*$N$323,0)</f>
        <v>-234262</v>
      </c>
      <c r="O16" s="246">
        <f>ROUND(VLOOKUP($A16,'Contribution Allocation_Report'!$A$9:$D$310,4,FALSE)*$O$323,0)</f>
        <v>-963467</v>
      </c>
      <c r="Q16" s="246">
        <f>+K16+VLOOKUP(A16,'Change in Proportion Layers'!$A$8:$I$321,3,FALSE)+VLOOKUP(A16,'Change in Proportion Layers'!$A$8:$V$321,10,FALSE)+VLOOKUP(A16,'Change in Proportion Layers'!$A$8:$V$321,16,FALSE)+VLOOKUP(A16,'Change in Proportion Layers'!$A$8:$V$321,21,FALSE)</f>
        <v>-3078067</v>
      </c>
      <c r="R16" s="246">
        <f>+L16+VLOOKUP(A16,'Change in Proportion Layers'!$A$8:$V$321,4,FALSE)+VLOOKUP(A16,'Change in Proportion Layers'!$A$8:$V$321,11,FALSE)+VLOOKUP(A16,'Change in Proportion Layers'!$A$8:$V$321,17,FALSE)+VLOOKUP(A16,'Change in Proportion Layers'!$A$8:$V$321,22,FALSE)</f>
        <v>-1828399</v>
      </c>
      <c r="S16" s="246">
        <f>+M16+VLOOKUP(A16,'Change in Proportion Layers'!$A$8:$V$321,5,FALSE)+VLOOKUP(A16,'Change in Proportion Layers'!$A$8:$V$321,12,FALSE)+VLOOKUP(A16,'Change in Proportion Layers'!$A$8:$V$321,18,FALSE)</f>
        <v>-853443</v>
      </c>
      <c r="T16" s="246">
        <f>+N16+VLOOKUP(A16,'Change in Proportion Layers'!$A$8:$V$321,6,FALSE)+VLOOKUP(A16,'Change in Proportion Layers'!$A$8:$V$321,13,FALSE)</f>
        <v>95010</v>
      </c>
      <c r="U16" s="246">
        <f>+O16+VLOOKUP(A16,'Change in Proportion Layers'!$A$8:$V$321,7,FALSE)-1</f>
        <v>-1003310</v>
      </c>
      <c r="W16" s="246">
        <f>('OPEB Amounts_Report'!G16-'OPEB Amounts_Report'!M16)</f>
        <v>-6668209</v>
      </c>
      <c r="X16" s="282">
        <f>SUM(Q16:U16)-('OPEB Amounts_Report'!G16-'OPEB Amounts_Report'!M16)</f>
        <v>0</v>
      </c>
    </row>
    <row r="17" spans="1:24" s="8" customFormat="1">
      <c r="A17" s="237">
        <v>4380</v>
      </c>
      <c r="B17" s="238" t="s">
        <v>11</v>
      </c>
      <c r="C17" s="48">
        <f t="shared" si="0"/>
        <v>-4021283</v>
      </c>
      <c r="D17" s="48">
        <f t="shared" si="1"/>
        <v>-2732920</v>
      </c>
      <c r="E17" s="48">
        <f t="shared" si="2"/>
        <v>-1678110</v>
      </c>
      <c r="F17" s="48">
        <f t="shared" si="3"/>
        <v>-595334</v>
      </c>
      <c r="G17" s="48">
        <f t="shared" si="4"/>
        <v>-935844</v>
      </c>
      <c r="I17" s="51"/>
      <c r="K17" s="156">
        <f>ROUND(VLOOKUP($A17,'Contribution Allocation_Report'!$A$9:$D$310,4,FALSE)*$K$323,0)</f>
        <v>-3397155</v>
      </c>
      <c r="L17" s="156">
        <f>ROUND(VLOOKUP($A17,'Contribution Allocation_Report'!$A$9:$D$310,4,FALSE)*$L$323,0)</f>
        <v>-2137850</v>
      </c>
      <c r="M17" s="156">
        <f>ROUND(VLOOKUP($A17,'Contribution Allocation_Report'!$A$9:$D$310,4,FALSE)*$M$323,0)</f>
        <v>-1214688</v>
      </c>
      <c r="N17" s="156">
        <f>ROUND(VLOOKUP($A17,'Contribution Allocation_Report'!$A$9:$D$310,4,FALSE)*$N$323,0)</f>
        <v>-241538</v>
      </c>
      <c r="O17" s="246">
        <f>ROUND(VLOOKUP($A17,'Contribution Allocation_Report'!$A$9:$D$310,4,FALSE)*$O$323,0)</f>
        <v>-993390</v>
      </c>
      <c r="Q17" s="246">
        <f>+K17+VLOOKUP(A17,'Change in Proportion Layers'!$A$8:$I$321,3,FALSE)+VLOOKUP(A17,'Change in Proportion Layers'!$A$8:$V$321,10,FALSE)+VLOOKUP(A17,'Change in Proportion Layers'!$A$8:$V$321,16,FALSE)+VLOOKUP(A17,'Change in Proportion Layers'!$A$8:$V$321,21,FALSE)</f>
        <v>-4021283</v>
      </c>
      <c r="R17" s="246">
        <f>+L17+VLOOKUP(A17,'Change in Proportion Layers'!$A$8:$V$321,4,FALSE)+VLOOKUP(A17,'Change in Proportion Layers'!$A$8:$V$321,11,FALSE)+VLOOKUP(A17,'Change in Proportion Layers'!$A$8:$V$321,17,FALSE)+VLOOKUP(A17,'Change in Proportion Layers'!$A$8:$V$321,22,FALSE)</f>
        <v>-2732920</v>
      </c>
      <c r="S17" s="246">
        <f>+M17+VLOOKUP(A17,'Change in Proportion Layers'!$A$8:$V$321,5,FALSE)+VLOOKUP(A17,'Change in Proportion Layers'!$A$8:$V$321,12,FALSE)+VLOOKUP(A17,'Change in Proportion Layers'!$A$8:$V$321,18,FALSE)</f>
        <v>-1678110</v>
      </c>
      <c r="T17" s="246">
        <f>+N17+VLOOKUP(A17,'Change in Proportion Layers'!$A$8:$V$321,6,FALSE)+VLOOKUP(A17,'Change in Proportion Layers'!$A$8:$V$321,13,FALSE)</f>
        <v>-595334</v>
      </c>
      <c r="U17" s="246">
        <f>+O17+VLOOKUP(A17,'Change in Proportion Layers'!$A$8:$V$321,7,FALSE)+1</f>
        <v>-935844</v>
      </c>
      <c r="W17" s="246">
        <f>('OPEB Amounts_Report'!G17-'OPEB Amounts_Report'!M17)</f>
        <v>-9963491</v>
      </c>
      <c r="X17" s="282">
        <f>SUM(Q17:U17)-('OPEB Amounts_Report'!G17-'OPEB Amounts_Report'!M17)</f>
        <v>0</v>
      </c>
    </row>
    <row r="18" spans="1:24" s="8" customFormat="1">
      <c r="A18" s="235">
        <v>2435</v>
      </c>
      <c r="B18" s="236" t="s">
        <v>409</v>
      </c>
      <c r="C18" s="245">
        <f t="shared" si="0"/>
        <v>61087</v>
      </c>
      <c r="D18" s="245">
        <f t="shared" si="1"/>
        <v>85848</v>
      </c>
      <c r="E18" s="245">
        <f t="shared" si="2"/>
        <v>79659</v>
      </c>
      <c r="F18" s="245">
        <f t="shared" si="3"/>
        <v>55056</v>
      </c>
      <c r="G18" s="245">
        <f t="shared" si="4"/>
        <v>17056</v>
      </c>
      <c r="I18" s="51"/>
      <c r="K18" s="156">
        <f>ROUND(VLOOKUP($A18,'Contribution Allocation_Report'!$A$9:$D$310,4,FALSE)*$K$323,0)</f>
        <v>-66798</v>
      </c>
      <c r="L18" s="156">
        <f>ROUND(VLOOKUP($A18,'Contribution Allocation_Report'!$A$9:$D$310,4,FALSE)*$L$323,0)</f>
        <v>-42037</v>
      </c>
      <c r="M18" s="156">
        <f>ROUND(VLOOKUP($A18,'Contribution Allocation_Report'!$A$9:$D$310,4,FALSE)*$M$323,0)</f>
        <v>-23884</v>
      </c>
      <c r="N18" s="156">
        <f>ROUND(VLOOKUP($A18,'Contribution Allocation_Report'!$A$9:$D$310,4,FALSE)*$N$323,0)</f>
        <v>-4749</v>
      </c>
      <c r="O18" s="246">
        <f>ROUND(VLOOKUP($A18,'Contribution Allocation_Report'!$A$9:$D$310,4,FALSE)*$O$323,0)</f>
        <v>-19533</v>
      </c>
      <c r="Q18" s="246">
        <f>+K18+VLOOKUP(A18,'Change in Proportion Layers'!$A$8:$I$321,3,FALSE)+VLOOKUP(A18,'Change in Proportion Layers'!$A$8:$V$321,10,FALSE)+VLOOKUP(A18,'Change in Proportion Layers'!$A$8:$V$321,16,FALSE)+VLOOKUP(A18,'Change in Proportion Layers'!$A$8:$V$321,21,FALSE)</f>
        <v>61087</v>
      </c>
      <c r="R18" s="246">
        <f>+L18+VLOOKUP(A18,'Change in Proportion Layers'!$A$8:$V$321,4,FALSE)+VLOOKUP(A18,'Change in Proportion Layers'!$A$8:$V$321,11,FALSE)+VLOOKUP(A18,'Change in Proportion Layers'!$A$8:$V$321,17,FALSE)+VLOOKUP(A18,'Change in Proportion Layers'!$A$8:$V$321,22,FALSE)</f>
        <v>85848</v>
      </c>
      <c r="S18" s="246">
        <f>+M18+VLOOKUP(A18,'Change in Proportion Layers'!$A$8:$V$321,5,FALSE)+VLOOKUP(A18,'Change in Proportion Layers'!$A$8:$V$321,12,FALSE)+VLOOKUP(A18,'Change in Proportion Layers'!$A$8:$V$321,18,FALSE)</f>
        <v>79659</v>
      </c>
      <c r="T18" s="246">
        <f>+N18+VLOOKUP(A18,'Change in Proportion Layers'!$A$8:$V$321,6,FALSE)+VLOOKUP(A18,'Change in Proportion Layers'!$A$8:$V$321,13,FALSE)</f>
        <v>55056</v>
      </c>
      <c r="U18" s="246">
        <f>+O18+VLOOKUP(A18,'Change in Proportion Layers'!$A$8:$V$321,7,FALSE)-1</f>
        <v>17056</v>
      </c>
      <c r="W18" s="246">
        <f>('OPEB Amounts_Report'!G18-'OPEB Amounts_Report'!M18)</f>
        <v>298706</v>
      </c>
      <c r="X18" s="282">
        <f>SUM(Q18:U18)-('OPEB Amounts_Report'!G18-'OPEB Amounts_Report'!M18)</f>
        <v>0</v>
      </c>
    </row>
    <row r="19" spans="1:24" s="8" customFormat="1">
      <c r="A19" s="237">
        <v>4560</v>
      </c>
      <c r="B19" s="238" t="s">
        <v>12</v>
      </c>
      <c r="C19" s="48">
        <f t="shared" si="0"/>
        <v>-354977</v>
      </c>
      <c r="D19" s="48">
        <f t="shared" si="1"/>
        <v>-231041</v>
      </c>
      <c r="E19" s="48">
        <f t="shared" si="2"/>
        <v>-101981</v>
      </c>
      <c r="F19" s="48">
        <f t="shared" si="3"/>
        <v>4181</v>
      </c>
      <c r="G19" s="48">
        <f t="shared" si="4"/>
        <v>-45276</v>
      </c>
      <c r="I19" s="51"/>
      <c r="K19" s="156">
        <f>ROUND(VLOOKUP($A19,'Contribution Allocation_Report'!$A$9:$D$310,4,FALSE)*$K$323,0)</f>
        <v>-295694</v>
      </c>
      <c r="L19" s="156">
        <f>ROUND(VLOOKUP($A19,'Contribution Allocation_Report'!$A$9:$D$310,4,FALSE)*$L$323,0)</f>
        <v>-186082</v>
      </c>
      <c r="M19" s="156">
        <f>ROUND(VLOOKUP($A19,'Contribution Allocation_Report'!$A$9:$D$310,4,FALSE)*$M$323,0)</f>
        <v>-105728</v>
      </c>
      <c r="N19" s="156">
        <f>ROUND(VLOOKUP($A19,'Contribution Allocation_Report'!$A$9:$D$310,4,FALSE)*$N$323,0)</f>
        <v>-21024</v>
      </c>
      <c r="O19" s="246">
        <f>ROUND(VLOOKUP($A19,'Contribution Allocation_Report'!$A$9:$D$310,4,FALSE)*$O$323,0)</f>
        <v>-86466</v>
      </c>
      <c r="Q19" s="246">
        <f>+K19+VLOOKUP(A19,'Change in Proportion Layers'!$A$8:$I$321,3,FALSE)+VLOOKUP(A19,'Change in Proportion Layers'!$A$8:$V$321,10,FALSE)+VLOOKUP(A19,'Change in Proportion Layers'!$A$8:$V$321,16,FALSE)+VLOOKUP(A19,'Change in Proportion Layers'!$A$8:$V$321,21,FALSE)</f>
        <v>-354977</v>
      </c>
      <c r="R19" s="246">
        <f>+L19+VLOOKUP(A19,'Change in Proportion Layers'!$A$8:$V$321,4,FALSE)+VLOOKUP(A19,'Change in Proportion Layers'!$A$8:$V$321,11,FALSE)+VLOOKUP(A19,'Change in Proportion Layers'!$A$8:$V$321,17,FALSE)+VLOOKUP(A19,'Change in Proportion Layers'!$A$8:$V$321,22,FALSE)</f>
        <v>-231041</v>
      </c>
      <c r="S19" s="246">
        <f>+M19+VLOOKUP(A19,'Change in Proportion Layers'!$A$8:$V$321,5,FALSE)+VLOOKUP(A19,'Change in Proportion Layers'!$A$8:$V$321,12,FALSE)+VLOOKUP(A19,'Change in Proportion Layers'!$A$8:$V$321,18,FALSE)</f>
        <v>-101981</v>
      </c>
      <c r="T19" s="246">
        <f>+N19+VLOOKUP(A19,'Change in Proportion Layers'!$A$8:$V$321,6,FALSE)+VLOOKUP(A19,'Change in Proportion Layers'!$A$8:$V$321,13,FALSE)</f>
        <v>4181</v>
      </c>
      <c r="U19" s="246">
        <f>+O19+VLOOKUP(A19,'Change in Proportion Layers'!$A$8:$V$321,7,FALSE)-1</f>
        <v>-45276</v>
      </c>
      <c r="W19" s="246">
        <f>('OPEB Amounts_Report'!G19-'OPEB Amounts_Report'!M19)</f>
        <v>-729094</v>
      </c>
      <c r="X19" s="282">
        <f>SUM(Q19:U19)-('OPEB Amounts_Report'!G19-'OPEB Amounts_Report'!M19)</f>
        <v>0</v>
      </c>
    </row>
    <row r="20" spans="1:24" s="8" customFormat="1">
      <c r="A20" s="235">
        <v>2341</v>
      </c>
      <c r="B20" s="236" t="s">
        <v>440</v>
      </c>
      <c r="C20" s="245">
        <f t="shared" si="0"/>
        <v>-216499</v>
      </c>
      <c r="D20" s="245">
        <f t="shared" si="1"/>
        <v>-143966</v>
      </c>
      <c r="E20" s="245">
        <f t="shared" si="2"/>
        <v>-79478</v>
      </c>
      <c r="F20" s="245">
        <f t="shared" si="3"/>
        <v>-36119</v>
      </c>
      <c r="G20" s="245">
        <f t="shared" si="4"/>
        <v>-64425</v>
      </c>
      <c r="I20" s="51"/>
      <c r="K20" s="156">
        <f>ROUND(VLOOKUP($A20,'Contribution Allocation_Report'!$A$9:$D$310,4,FALSE)*$K$323,0)</f>
        <v>-173629</v>
      </c>
      <c r="L20" s="156">
        <f>ROUND(VLOOKUP($A20,'Contribution Allocation_Report'!$A$9:$D$310,4,FALSE)*$L$323,0)</f>
        <v>-109266</v>
      </c>
      <c r="M20" s="156">
        <f>ROUND(VLOOKUP($A20,'Contribution Allocation_Report'!$A$9:$D$310,4,FALSE)*$M$323,0)</f>
        <v>-62083</v>
      </c>
      <c r="N20" s="156">
        <f>ROUND(VLOOKUP($A20,'Contribution Allocation_Report'!$A$9:$D$310,4,FALSE)*$N$323,0)</f>
        <v>-12345</v>
      </c>
      <c r="O20" s="246">
        <f>ROUND(VLOOKUP($A20,'Contribution Allocation_Report'!$A$9:$D$310,4,FALSE)*$O$323,0)</f>
        <v>-50772</v>
      </c>
      <c r="Q20" s="246">
        <f>+K20+VLOOKUP(A20,'Change in Proportion Layers'!$A$8:$I$321,3,FALSE)+VLOOKUP(A20,'Change in Proportion Layers'!$A$8:$V$321,10,FALSE)+VLOOKUP(A20,'Change in Proportion Layers'!$A$8:$V$321,16,FALSE)+VLOOKUP(A20,'Change in Proportion Layers'!$A$8:$V$321,21,FALSE)</f>
        <v>-216499</v>
      </c>
      <c r="R20" s="246">
        <f>+L20+VLOOKUP(A20,'Change in Proportion Layers'!$A$8:$V$321,4,FALSE)+VLOOKUP(A20,'Change in Proportion Layers'!$A$8:$V$321,11,FALSE)+VLOOKUP(A20,'Change in Proportion Layers'!$A$8:$V$321,17,FALSE)+VLOOKUP(A20,'Change in Proportion Layers'!$A$8:$V$321,22,FALSE)</f>
        <v>-143966</v>
      </c>
      <c r="S20" s="246">
        <f>+M20+VLOOKUP(A20,'Change in Proportion Layers'!$A$8:$V$321,5,FALSE)+VLOOKUP(A20,'Change in Proportion Layers'!$A$8:$V$321,12,FALSE)+VLOOKUP(A20,'Change in Proportion Layers'!$A$8:$V$321,18,FALSE)</f>
        <v>-79478</v>
      </c>
      <c r="T20" s="246">
        <f>+N20+VLOOKUP(A20,'Change in Proportion Layers'!$A$8:$V$321,6,FALSE)+VLOOKUP(A20,'Change in Proportion Layers'!$A$8:$V$321,13,FALSE)</f>
        <v>-36119</v>
      </c>
      <c r="U20" s="246">
        <f>+O20+VLOOKUP(A20,'Change in Proportion Layers'!$A$8:$V$321,7,FALSE)</f>
        <v>-64425</v>
      </c>
      <c r="W20" s="246">
        <f>('OPEB Amounts_Report'!G20-'OPEB Amounts_Report'!M20)</f>
        <v>-540487</v>
      </c>
      <c r="X20" s="282">
        <f>SUM(Q20:U20)-('OPEB Amounts_Report'!G20-'OPEB Amounts_Report'!M20)</f>
        <v>0</v>
      </c>
    </row>
    <row r="21" spans="1:24" s="8" customFormat="1">
      <c r="A21" s="237">
        <v>4580</v>
      </c>
      <c r="B21" s="238" t="s">
        <v>410</v>
      </c>
      <c r="C21" s="48">
        <f t="shared" si="0"/>
        <v>158711</v>
      </c>
      <c r="D21" s="48">
        <f t="shared" si="1"/>
        <v>212683</v>
      </c>
      <c r="E21" s="48">
        <f t="shared" si="2"/>
        <v>135102</v>
      </c>
      <c r="F21" s="48">
        <f t="shared" si="3"/>
        <v>-31091</v>
      </c>
      <c r="G21" s="48">
        <f t="shared" si="4"/>
        <v>-45831</v>
      </c>
      <c r="I21" s="51"/>
      <c r="K21" s="156">
        <f>ROUND(VLOOKUP($A21,'Contribution Allocation_Report'!$A$9:$D$310,4,FALSE)*$K$323,0)</f>
        <v>-145597</v>
      </c>
      <c r="L21" s="156">
        <f>ROUND(VLOOKUP($A21,'Contribution Allocation_Report'!$A$9:$D$310,4,FALSE)*$L$323,0)</f>
        <v>-91625</v>
      </c>
      <c r="M21" s="156">
        <f>ROUND(VLOOKUP($A21,'Contribution Allocation_Report'!$A$9:$D$310,4,FALSE)*$M$323,0)</f>
        <v>-52060</v>
      </c>
      <c r="N21" s="156">
        <f>ROUND(VLOOKUP($A21,'Contribution Allocation_Report'!$A$9:$D$310,4,FALSE)*$N$323,0)</f>
        <v>-10352</v>
      </c>
      <c r="O21" s="246">
        <f>ROUND(VLOOKUP($A21,'Contribution Allocation_Report'!$A$9:$D$310,4,FALSE)*$O$323,0)</f>
        <v>-42575</v>
      </c>
      <c r="Q21" s="246">
        <f>+K21+VLOOKUP(A21,'Change in Proportion Layers'!$A$8:$I$321,3,FALSE)+VLOOKUP(A21,'Change in Proportion Layers'!$A$8:$V$321,10,FALSE)+VLOOKUP(A21,'Change in Proportion Layers'!$A$8:$V$321,16,FALSE)+VLOOKUP(A21,'Change in Proportion Layers'!$A$8:$V$321,21,FALSE)</f>
        <v>158711</v>
      </c>
      <c r="R21" s="246">
        <f>+L21+VLOOKUP(A21,'Change in Proportion Layers'!$A$8:$V$321,4,FALSE)+VLOOKUP(A21,'Change in Proportion Layers'!$A$8:$V$321,11,FALSE)+VLOOKUP(A21,'Change in Proportion Layers'!$A$8:$V$321,17,FALSE)+VLOOKUP(A21,'Change in Proportion Layers'!$A$8:$V$321,22,FALSE)</f>
        <v>212683</v>
      </c>
      <c r="S21" s="246">
        <f>+M21+VLOOKUP(A21,'Change in Proportion Layers'!$A$8:$V$321,5,FALSE)+VLOOKUP(A21,'Change in Proportion Layers'!$A$8:$V$321,12,FALSE)+VLOOKUP(A21,'Change in Proportion Layers'!$A$8:$V$321,18,FALSE)</f>
        <v>135102</v>
      </c>
      <c r="T21" s="246">
        <f>+N21+VLOOKUP(A21,'Change in Proportion Layers'!$A$8:$V$321,6,FALSE)+VLOOKUP(A21,'Change in Proportion Layers'!$A$8:$V$321,13,FALSE)</f>
        <v>-31091</v>
      </c>
      <c r="U21" s="246">
        <f>+O21+VLOOKUP(A21,'Change in Proportion Layers'!$A$8:$V$321,7,FALSE)</f>
        <v>-45831</v>
      </c>
      <c r="W21" s="246">
        <f>('OPEB Amounts_Report'!G21-'OPEB Amounts_Report'!M21)</f>
        <v>429574</v>
      </c>
      <c r="X21" s="282">
        <f>SUM(Q21:U21)-('OPEB Amounts_Report'!G21-'OPEB Amounts_Report'!M21)</f>
        <v>0</v>
      </c>
    </row>
    <row r="22" spans="1:24" s="8" customFormat="1">
      <c r="A22" s="235">
        <v>2003</v>
      </c>
      <c r="B22" s="236" t="s">
        <v>13</v>
      </c>
      <c r="C22" s="245">
        <f t="shared" si="0"/>
        <v>-52442483</v>
      </c>
      <c r="D22" s="245">
        <f t="shared" si="1"/>
        <v>-32228515</v>
      </c>
      <c r="E22" s="245">
        <f t="shared" si="2"/>
        <v>-16913821</v>
      </c>
      <c r="F22" s="245">
        <f t="shared" si="3"/>
        <v>-2690298</v>
      </c>
      <c r="G22" s="245">
        <f t="shared" si="4"/>
        <v>-17415754</v>
      </c>
      <c r="I22" s="51"/>
      <c r="K22" s="156">
        <f>ROUND(VLOOKUP($A22,'Contribution Allocation_Report'!$A$9:$D$310,4,FALSE)*$K$323,0)</f>
        <v>-53049457</v>
      </c>
      <c r="L22" s="156">
        <f>ROUND(VLOOKUP($A22,'Contribution Allocation_Report'!$A$9:$D$310,4,FALSE)*$L$323,0)</f>
        <v>-33384344</v>
      </c>
      <c r="M22" s="156">
        <f>ROUND(VLOOKUP($A22,'Contribution Allocation_Report'!$A$9:$D$310,4,FALSE)*$M$323,0)</f>
        <v>-18968374</v>
      </c>
      <c r="N22" s="156">
        <f>ROUND(VLOOKUP($A22,'Contribution Allocation_Report'!$A$9:$D$310,4,FALSE)*$N$323,0)</f>
        <v>-3771820</v>
      </c>
      <c r="O22" s="246">
        <f>ROUND(VLOOKUP($A22,'Contribution Allocation_Report'!$A$9:$D$310,4,FALSE)*$O$323,0)</f>
        <v>-15512627</v>
      </c>
      <c r="Q22" s="246">
        <f>+K22+VLOOKUP(A22,'Change in Proportion Layers'!$A$8:$I$321,3,FALSE)+VLOOKUP(A22,'Change in Proportion Layers'!$A$8:$V$321,10,FALSE)+VLOOKUP(A22,'Change in Proportion Layers'!$A$8:$V$321,16,FALSE)+VLOOKUP(A22,'Change in Proportion Layers'!$A$8:$V$321,21,FALSE)</f>
        <v>-52442483</v>
      </c>
      <c r="R22" s="246">
        <f>+L22+VLOOKUP(A22,'Change in Proportion Layers'!$A$8:$V$321,4,FALSE)+VLOOKUP(A22,'Change in Proportion Layers'!$A$8:$V$321,11,FALSE)+VLOOKUP(A22,'Change in Proportion Layers'!$A$8:$V$321,17,FALSE)+VLOOKUP(A22,'Change in Proportion Layers'!$A$8:$V$321,22,FALSE)</f>
        <v>-32228515</v>
      </c>
      <c r="S22" s="246">
        <f>+M22+VLOOKUP(A22,'Change in Proportion Layers'!$A$8:$V$321,5,FALSE)+VLOOKUP(A22,'Change in Proportion Layers'!$A$8:$V$321,12,FALSE)+VLOOKUP(A22,'Change in Proportion Layers'!$A$8:$V$321,18,FALSE)</f>
        <v>-16913821</v>
      </c>
      <c r="T22" s="246">
        <f>+N22+VLOOKUP(A22,'Change in Proportion Layers'!$A$8:$V$321,6,FALSE)+VLOOKUP(A22,'Change in Proportion Layers'!$A$8:$V$321,13,FALSE)</f>
        <v>-2690298</v>
      </c>
      <c r="U22" s="246">
        <f>+O22+VLOOKUP(A22,'Change in Proportion Layers'!$A$8:$V$321,7,FALSE)</f>
        <v>-17415754</v>
      </c>
      <c r="W22" s="246">
        <f>('OPEB Amounts_Report'!G22-'OPEB Amounts_Report'!M22)</f>
        <v>-121690871</v>
      </c>
      <c r="X22" s="282">
        <f>SUM(Q22:U22)-('OPEB Amounts_Report'!G22-'OPEB Amounts_Report'!M22)</f>
        <v>0</v>
      </c>
    </row>
    <row r="23" spans="1:24" s="8" customFormat="1">
      <c r="A23" s="237">
        <v>2412</v>
      </c>
      <c r="B23" s="238" t="s">
        <v>14</v>
      </c>
      <c r="C23" s="48">
        <f t="shared" si="0"/>
        <v>24933</v>
      </c>
      <c r="D23" s="48">
        <f t="shared" si="1"/>
        <v>173185</v>
      </c>
      <c r="E23" s="48">
        <f t="shared" si="2"/>
        <v>227071</v>
      </c>
      <c r="F23" s="48">
        <f t="shared" si="3"/>
        <v>271713</v>
      </c>
      <c r="G23" s="48">
        <f t="shared" si="4"/>
        <v>92448</v>
      </c>
      <c r="I23" s="51"/>
      <c r="K23" s="156">
        <f>ROUND(VLOOKUP($A23,'Contribution Allocation_Report'!$A$9:$D$310,4,FALSE)*$K$323,0)</f>
        <v>-419400</v>
      </c>
      <c r="L23" s="156">
        <f>ROUND(VLOOKUP($A23,'Contribution Allocation_Report'!$A$9:$D$310,4,FALSE)*$L$323,0)</f>
        <v>-263931</v>
      </c>
      <c r="M23" s="156">
        <f>ROUND(VLOOKUP($A23,'Contribution Allocation_Report'!$A$9:$D$310,4,FALSE)*$M$323,0)</f>
        <v>-149961</v>
      </c>
      <c r="N23" s="156">
        <f>ROUND(VLOOKUP($A23,'Contribution Allocation_Report'!$A$9:$D$310,4,FALSE)*$N$323,0)</f>
        <v>-29819</v>
      </c>
      <c r="O23" s="246">
        <f>ROUND(VLOOKUP($A23,'Contribution Allocation_Report'!$A$9:$D$310,4,FALSE)*$O$323,0)</f>
        <v>-122640</v>
      </c>
      <c r="Q23" s="246">
        <f>+K23+VLOOKUP(A23,'Change in Proportion Layers'!$A$8:$I$321,3,FALSE)+VLOOKUP(A23,'Change in Proportion Layers'!$A$8:$V$321,10,FALSE)+VLOOKUP(A23,'Change in Proportion Layers'!$A$8:$V$321,16,FALSE)+VLOOKUP(A23,'Change in Proportion Layers'!$A$8:$V$321,21,FALSE)</f>
        <v>24933</v>
      </c>
      <c r="R23" s="246">
        <f>+L23+VLOOKUP(A23,'Change in Proportion Layers'!$A$8:$V$321,4,FALSE)+VLOOKUP(A23,'Change in Proportion Layers'!$A$8:$V$321,11,FALSE)+VLOOKUP(A23,'Change in Proportion Layers'!$A$8:$V$321,17,FALSE)+VLOOKUP(A23,'Change in Proportion Layers'!$A$8:$V$321,22,FALSE)</f>
        <v>173185</v>
      </c>
      <c r="S23" s="246">
        <f>+M23+VLOOKUP(A23,'Change in Proportion Layers'!$A$8:$V$321,5,FALSE)+VLOOKUP(A23,'Change in Proportion Layers'!$A$8:$V$321,12,FALSE)+VLOOKUP(A23,'Change in Proportion Layers'!$A$8:$V$321,18,FALSE)</f>
        <v>227071</v>
      </c>
      <c r="T23" s="246">
        <f>+N23+VLOOKUP(A23,'Change in Proportion Layers'!$A$8:$V$321,6,FALSE)+VLOOKUP(A23,'Change in Proportion Layers'!$A$8:$V$321,13,FALSE)</f>
        <v>271713</v>
      </c>
      <c r="U23" s="246">
        <f>+O23+VLOOKUP(A23,'Change in Proportion Layers'!$A$8:$V$321,7,FALSE)-2</f>
        <v>92448</v>
      </c>
      <c r="W23" s="246">
        <f>('OPEB Amounts_Report'!G23-'OPEB Amounts_Report'!M23)</f>
        <v>789350</v>
      </c>
      <c r="X23" s="282">
        <f>SUM(Q23:U23)-('OPEB Amounts_Report'!G23-'OPEB Amounts_Report'!M23)</f>
        <v>0</v>
      </c>
    </row>
    <row r="24" spans="1:24" s="8" customFormat="1">
      <c r="A24" s="235">
        <v>2402</v>
      </c>
      <c r="B24" s="236" t="s">
        <v>15</v>
      </c>
      <c r="C24" s="245">
        <f t="shared" si="0"/>
        <v>-191347</v>
      </c>
      <c r="D24" s="245">
        <f t="shared" si="1"/>
        <v>-125919</v>
      </c>
      <c r="E24" s="245">
        <f t="shared" si="2"/>
        <v>-41914</v>
      </c>
      <c r="F24" s="245">
        <f t="shared" si="3"/>
        <v>32809</v>
      </c>
      <c r="G24" s="245">
        <f t="shared" si="4"/>
        <v>-15698</v>
      </c>
      <c r="I24" s="51"/>
      <c r="K24" s="156">
        <f>ROUND(VLOOKUP($A24,'Contribution Allocation_Report'!$A$9:$D$310,4,FALSE)*$K$323,0)</f>
        <v>-150050</v>
      </c>
      <c r="L24" s="156">
        <f>ROUND(VLOOKUP($A24,'Contribution Allocation_Report'!$A$9:$D$310,4,FALSE)*$L$323,0)</f>
        <v>-94428</v>
      </c>
      <c r="M24" s="156">
        <f>ROUND(VLOOKUP($A24,'Contribution Allocation_Report'!$A$9:$D$310,4,FALSE)*$M$323,0)</f>
        <v>-53652</v>
      </c>
      <c r="N24" s="156">
        <f>ROUND(VLOOKUP($A24,'Contribution Allocation_Report'!$A$9:$D$310,4,FALSE)*$N$323,0)</f>
        <v>-10669</v>
      </c>
      <c r="O24" s="246">
        <f>ROUND(VLOOKUP($A24,'Contribution Allocation_Report'!$A$9:$D$310,4,FALSE)*$O$323,0)</f>
        <v>-43877</v>
      </c>
      <c r="Q24" s="246">
        <f>+K24+VLOOKUP(A24,'Change in Proportion Layers'!$A$8:$I$321,3,FALSE)+VLOOKUP(A24,'Change in Proportion Layers'!$A$8:$V$321,10,FALSE)+VLOOKUP(A24,'Change in Proportion Layers'!$A$8:$V$321,16,FALSE)+VLOOKUP(A24,'Change in Proportion Layers'!$A$8:$V$321,21,FALSE)</f>
        <v>-191347</v>
      </c>
      <c r="R24" s="246">
        <f>+L24+VLOOKUP(A24,'Change in Proportion Layers'!$A$8:$V$321,4,FALSE)+VLOOKUP(A24,'Change in Proportion Layers'!$A$8:$V$321,11,FALSE)+VLOOKUP(A24,'Change in Proportion Layers'!$A$8:$V$321,17,FALSE)+VLOOKUP(A24,'Change in Proportion Layers'!$A$8:$V$321,22,FALSE)</f>
        <v>-125919</v>
      </c>
      <c r="S24" s="246">
        <f>+M24+VLOOKUP(A24,'Change in Proportion Layers'!$A$8:$V$321,5,FALSE)+VLOOKUP(A24,'Change in Proportion Layers'!$A$8:$V$321,12,FALSE)+VLOOKUP(A24,'Change in Proportion Layers'!$A$8:$V$321,18,FALSE)</f>
        <v>-41914</v>
      </c>
      <c r="T24" s="246">
        <f>+N24+VLOOKUP(A24,'Change in Proportion Layers'!$A$8:$V$321,6,FALSE)+VLOOKUP(A24,'Change in Proportion Layers'!$A$8:$V$321,13,FALSE)</f>
        <v>32809</v>
      </c>
      <c r="U24" s="246">
        <f>+O24+VLOOKUP(A24,'Change in Proportion Layers'!$A$8:$V$321,7,FALSE)+1</f>
        <v>-15698</v>
      </c>
      <c r="W24" s="246">
        <f>('OPEB Amounts_Report'!G24-'OPEB Amounts_Report'!M24)</f>
        <v>-342069</v>
      </c>
      <c r="X24" s="282">
        <f>SUM(Q24:U24)-('OPEB Amounts_Report'!G24-'OPEB Amounts_Report'!M24)</f>
        <v>0</v>
      </c>
    </row>
    <row r="25" spans="1:24" s="8" customFormat="1">
      <c r="A25" s="237">
        <v>2361</v>
      </c>
      <c r="B25" s="238" t="s">
        <v>16</v>
      </c>
      <c r="C25" s="48">
        <f t="shared" si="0"/>
        <v>-112240</v>
      </c>
      <c r="D25" s="48">
        <f t="shared" si="1"/>
        <v>-75635</v>
      </c>
      <c r="E25" s="48">
        <f t="shared" si="2"/>
        <v>-52697</v>
      </c>
      <c r="F25" s="48">
        <f t="shared" si="3"/>
        <v>-34455</v>
      </c>
      <c r="G25" s="48">
        <f t="shared" si="4"/>
        <v>-41069</v>
      </c>
      <c r="I25" s="51"/>
      <c r="K25" s="156">
        <f>ROUND(VLOOKUP($A25,'Contribution Allocation_Report'!$A$9:$D$310,4,FALSE)*$K$323,0)</f>
        <v>-96471</v>
      </c>
      <c r="L25" s="156">
        <f>ROUND(VLOOKUP($A25,'Contribution Allocation_Report'!$A$9:$D$310,4,FALSE)*$L$323,0)</f>
        <v>-60710</v>
      </c>
      <c r="M25" s="156">
        <f>ROUND(VLOOKUP($A25,'Contribution Allocation_Report'!$A$9:$D$310,4,FALSE)*$M$323,0)</f>
        <v>-34494</v>
      </c>
      <c r="N25" s="156">
        <f>ROUND(VLOOKUP($A25,'Contribution Allocation_Report'!$A$9:$D$310,4,FALSE)*$N$323,0)</f>
        <v>-6859</v>
      </c>
      <c r="O25" s="246">
        <f>ROUND(VLOOKUP($A25,'Contribution Allocation_Report'!$A$9:$D$310,4,FALSE)*$O$323,0)</f>
        <v>-28210</v>
      </c>
      <c r="Q25" s="246">
        <f>+K25+VLOOKUP(A25,'Change in Proportion Layers'!$A$8:$I$321,3,FALSE)+VLOOKUP(A25,'Change in Proportion Layers'!$A$8:$V$321,10,FALSE)+VLOOKUP(A25,'Change in Proportion Layers'!$A$8:$V$321,16,FALSE)+VLOOKUP(A25,'Change in Proportion Layers'!$A$8:$V$321,21,FALSE)</f>
        <v>-112240</v>
      </c>
      <c r="R25" s="246">
        <f>+L25+VLOOKUP(A25,'Change in Proportion Layers'!$A$8:$V$321,4,FALSE)+VLOOKUP(A25,'Change in Proportion Layers'!$A$8:$V$321,11,FALSE)+VLOOKUP(A25,'Change in Proportion Layers'!$A$8:$V$321,17,FALSE)+VLOOKUP(A25,'Change in Proportion Layers'!$A$8:$V$321,22,FALSE)</f>
        <v>-75635</v>
      </c>
      <c r="S25" s="246">
        <f>+M25+VLOOKUP(A25,'Change in Proportion Layers'!$A$8:$V$321,5,FALSE)+VLOOKUP(A25,'Change in Proportion Layers'!$A$8:$V$321,12,FALSE)+VLOOKUP(A25,'Change in Proportion Layers'!$A$8:$V$321,18,FALSE)</f>
        <v>-52697</v>
      </c>
      <c r="T25" s="246">
        <f>+N25+VLOOKUP(A25,'Change in Proportion Layers'!$A$8:$V$321,6,FALSE)+VLOOKUP(A25,'Change in Proportion Layers'!$A$8:$V$321,13,FALSE)</f>
        <v>-34455</v>
      </c>
      <c r="U25" s="246">
        <f>+O25+VLOOKUP(A25,'Change in Proportion Layers'!$A$8:$V$321,7,FALSE)</f>
        <v>-41069</v>
      </c>
      <c r="W25" s="246">
        <f>('OPEB Amounts_Report'!G25-'OPEB Amounts_Report'!M25)</f>
        <v>-316096</v>
      </c>
      <c r="X25" s="282">
        <f>SUM(Q25:U25)-('OPEB Amounts_Report'!G25-'OPEB Amounts_Report'!M25)</f>
        <v>0</v>
      </c>
    </row>
    <row r="26" spans="1:24" s="8" customFormat="1">
      <c r="A26" s="235">
        <v>8347</v>
      </c>
      <c r="B26" s="236" t="s">
        <v>17</v>
      </c>
      <c r="C26" s="245">
        <f t="shared" si="0"/>
        <v>-136839</v>
      </c>
      <c r="D26" s="245">
        <f t="shared" si="1"/>
        <v>-88373</v>
      </c>
      <c r="E26" s="245">
        <f t="shared" si="2"/>
        <v>-59939</v>
      </c>
      <c r="F26" s="245">
        <f t="shared" si="3"/>
        <v>-20102</v>
      </c>
      <c r="G26" s="245">
        <f t="shared" si="4"/>
        <v>-27971</v>
      </c>
      <c r="I26" s="51"/>
      <c r="K26" s="156">
        <f>ROUND(VLOOKUP($A26,'Contribution Allocation_Report'!$A$9:$D$310,4,FALSE)*$K$323,0)</f>
        <v>-140441</v>
      </c>
      <c r="L26" s="156">
        <f>ROUND(VLOOKUP($A26,'Contribution Allocation_Report'!$A$9:$D$310,4,FALSE)*$L$323,0)</f>
        <v>-88380</v>
      </c>
      <c r="M26" s="156">
        <f>ROUND(VLOOKUP($A26,'Contribution Allocation_Report'!$A$9:$D$310,4,FALSE)*$M$323,0)</f>
        <v>-50216</v>
      </c>
      <c r="N26" s="156">
        <f>ROUND(VLOOKUP($A26,'Contribution Allocation_Report'!$A$9:$D$310,4,FALSE)*$N$323,0)</f>
        <v>-9985</v>
      </c>
      <c r="O26" s="246">
        <f>ROUND(VLOOKUP($A26,'Contribution Allocation_Report'!$A$9:$D$310,4,FALSE)*$O$323,0)</f>
        <v>-41067</v>
      </c>
      <c r="Q26" s="246">
        <f>+K26+VLOOKUP(A26,'Change in Proportion Layers'!$A$8:$I$321,3,FALSE)+VLOOKUP(A26,'Change in Proportion Layers'!$A$8:$V$321,10,FALSE)+VLOOKUP(A26,'Change in Proportion Layers'!$A$8:$V$321,16,FALSE)+VLOOKUP(A26,'Change in Proportion Layers'!$A$8:$V$321,21,FALSE)</f>
        <v>-136839</v>
      </c>
      <c r="R26" s="246">
        <f>+L26+VLOOKUP(A26,'Change in Proportion Layers'!$A$8:$V$321,4,FALSE)+VLOOKUP(A26,'Change in Proportion Layers'!$A$8:$V$321,11,FALSE)+VLOOKUP(A26,'Change in Proportion Layers'!$A$8:$V$321,17,FALSE)+VLOOKUP(A26,'Change in Proportion Layers'!$A$8:$V$321,22,FALSE)</f>
        <v>-88373</v>
      </c>
      <c r="S26" s="246">
        <f>+M26+VLOOKUP(A26,'Change in Proportion Layers'!$A$8:$V$321,5,FALSE)+VLOOKUP(A26,'Change in Proportion Layers'!$A$8:$V$321,12,FALSE)+VLOOKUP(A26,'Change in Proportion Layers'!$A$8:$V$321,18,FALSE)</f>
        <v>-59939</v>
      </c>
      <c r="T26" s="246">
        <f>+N26+VLOOKUP(A26,'Change in Proportion Layers'!$A$8:$V$321,6,FALSE)+VLOOKUP(A26,'Change in Proportion Layers'!$A$8:$V$321,13,FALSE)</f>
        <v>-20102</v>
      </c>
      <c r="U26" s="246">
        <f>+O26+VLOOKUP(A26,'Change in Proportion Layers'!$A$8:$V$321,7,FALSE)-1</f>
        <v>-27971</v>
      </c>
      <c r="W26" s="246">
        <f>('OPEB Amounts_Report'!G26-'OPEB Amounts_Report'!M26)</f>
        <v>-333224</v>
      </c>
      <c r="X26" s="282">
        <f>SUM(Q26:U26)-('OPEB Amounts_Report'!G26-'OPEB Amounts_Report'!M26)</f>
        <v>0</v>
      </c>
    </row>
    <row r="27" spans="1:24" s="8" customFormat="1">
      <c r="A27" s="237">
        <v>2356</v>
      </c>
      <c r="B27" s="238" t="s">
        <v>18</v>
      </c>
      <c r="C27" s="48">
        <f t="shared" si="0"/>
        <v>-168237</v>
      </c>
      <c r="D27" s="48">
        <f t="shared" si="1"/>
        <v>-69843</v>
      </c>
      <c r="E27" s="48">
        <f t="shared" si="2"/>
        <v>-28810</v>
      </c>
      <c r="F27" s="48">
        <f t="shared" si="3"/>
        <v>-5666</v>
      </c>
      <c r="G27" s="48">
        <f t="shared" si="4"/>
        <v>-76864</v>
      </c>
      <c r="I27" s="51"/>
      <c r="K27" s="156">
        <f>ROUND(VLOOKUP($A27,'Contribution Allocation_Report'!$A$9:$D$310,4,FALSE)*$K$323,0)</f>
        <v>-267194</v>
      </c>
      <c r="L27" s="156">
        <f>ROUND(VLOOKUP($A27,'Contribution Allocation_Report'!$A$9:$D$310,4,FALSE)*$L$323,0)</f>
        <v>-168147</v>
      </c>
      <c r="M27" s="156">
        <f>ROUND(VLOOKUP($A27,'Contribution Allocation_Report'!$A$9:$D$310,4,FALSE)*$M$323,0)</f>
        <v>-95538</v>
      </c>
      <c r="N27" s="156">
        <f>ROUND(VLOOKUP($A27,'Contribution Allocation_Report'!$A$9:$D$310,4,FALSE)*$N$323,0)</f>
        <v>-18997</v>
      </c>
      <c r="O27" s="246">
        <f>ROUND(VLOOKUP($A27,'Contribution Allocation_Report'!$A$9:$D$310,4,FALSE)*$O$323,0)</f>
        <v>-78132</v>
      </c>
      <c r="Q27" s="246">
        <f>+K27+VLOOKUP(A27,'Change in Proportion Layers'!$A$8:$I$321,3,FALSE)+VLOOKUP(A27,'Change in Proportion Layers'!$A$8:$V$321,10,FALSE)+VLOOKUP(A27,'Change in Proportion Layers'!$A$8:$V$321,16,FALSE)+VLOOKUP(A27,'Change in Proportion Layers'!$A$8:$V$321,21,FALSE)</f>
        <v>-168237</v>
      </c>
      <c r="R27" s="246">
        <f>+L27+VLOOKUP(A27,'Change in Proportion Layers'!$A$8:$V$321,4,FALSE)+VLOOKUP(A27,'Change in Proportion Layers'!$A$8:$V$321,11,FALSE)+VLOOKUP(A27,'Change in Proportion Layers'!$A$8:$V$321,17,FALSE)+VLOOKUP(A27,'Change in Proportion Layers'!$A$8:$V$321,22,FALSE)</f>
        <v>-69843</v>
      </c>
      <c r="S27" s="246">
        <f>+M27+VLOOKUP(A27,'Change in Proportion Layers'!$A$8:$V$321,5,FALSE)+VLOOKUP(A27,'Change in Proportion Layers'!$A$8:$V$321,12,FALSE)+VLOOKUP(A27,'Change in Proportion Layers'!$A$8:$V$321,18,FALSE)</f>
        <v>-28810</v>
      </c>
      <c r="T27" s="246">
        <f>+N27+VLOOKUP(A27,'Change in Proportion Layers'!$A$8:$V$321,6,FALSE)+VLOOKUP(A27,'Change in Proportion Layers'!$A$8:$V$321,13,FALSE)</f>
        <v>-5666</v>
      </c>
      <c r="U27" s="246">
        <f>+O27+VLOOKUP(A27,'Change in Proportion Layers'!$A$8:$V$321,7,FALSE)-1</f>
        <v>-76864</v>
      </c>
      <c r="W27" s="246">
        <f>('OPEB Amounts_Report'!G27-'OPEB Amounts_Report'!M27)</f>
        <v>-349420</v>
      </c>
      <c r="X27" s="282">
        <f>SUM(Q27:U27)-('OPEB Amounts_Report'!G27-'OPEB Amounts_Report'!M27)</f>
        <v>0</v>
      </c>
    </row>
    <row r="28" spans="1:24" s="8" customFormat="1">
      <c r="A28" s="235">
        <v>7335</v>
      </c>
      <c r="B28" s="236" t="s">
        <v>19</v>
      </c>
      <c r="C28" s="245">
        <f t="shared" si="0"/>
        <v>-105704</v>
      </c>
      <c r="D28" s="245">
        <f t="shared" si="1"/>
        <v>-71387</v>
      </c>
      <c r="E28" s="245">
        <f t="shared" si="2"/>
        <v>-53599</v>
      </c>
      <c r="F28" s="245">
        <f t="shared" si="3"/>
        <v>-27543</v>
      </c>
      <c r="G28" s="245">
        <f t="shared" si="4"/>
        <v>-39895</v>
      </c>
      <c r="I28" s="51"/>
      <c r="K28" s="156">
        <f>ROUND(VLOOKUP($A28,'Contribution Allocation_Report'!$A$9:$D$310,4,FALSE)*$K$323,0)</f>
        <v>-100877</v>
      </c>
      <c r="L28" s="156">
        <f>ROUND(VLOOKUP($A28,'Contribution Allocation_Report'!$A$9:$D$310,4,FALSE)*$L$323,0)</f>
        <v>-63483</v>
      </c>
      <c r="M28" s="156">
        <f>ROUND(VLOOKUP($A28,'Contribution Allocation_Report'!$A$9:$D$310,4,FALSE)*$M$323,0)</f>
        <v>-36070</v>
      </c>
      <c r="N28" s="156">
        <f>ROUND(VLOOKUP($A28,'Contribution Allocation_Report'!$A$9:$D$310,4,FALSE)*$N$323,0)</f>
        <v>-7172</v>
      </c>
      <c r="O28" s="246">
        <f>ROUND(VLOOKUP($A28,'Contribution Allocation_Report'!$A$9:$D$310,4,FALSE)*$O$323,0)</f>
        <v>-29498</v>
      </c>
      <c r="Q28" s="246">
        <f>+K28+VLOOKUP(A28,'Change in Proportion Layers'!$A$8:$I$321,3,FALSE)+VLOOKUP(A28,'Change in Proportion Layers'!$A$8:$V$321,10,FALSE)+VLOOKUP(A28,'Change in Proportion Layers'!$A$8:$V$321,16,FALSE)+VLOOKUP(A28,'Change in Proportion Layers'!$A$8:$V$321,21,FALSE)</f>
        <v>-105704</v>
      </c>
      <c r="R28" s="246">
        <f>+L28+VLOOKUP(A28,'Change in Proportion Layers'!$A$8:$V$321,4,FALSE)+VLOOKUP(A28,'Change in Proportion Layers'!$A$8:$V$321,11,FALSE)+VLOOKUP(A28,'Change in Proportion Layers'!$A$8:$V$321,17,FALSE)+VLOOKUP(A28,'Change in Proportion Layers'!$A$8:$V$321,22,FALSE)</f>
        <v>-71387</v>
      </c>
      <c r="S28" s="246">
        <f>+M28+VLOOKUP(A28,'Change in Proportion Layers'!$A$8:$V$321,5,FALSE)+VLOOKUP(A28,'Change in Proportion Layers'!$A$8:$V$321,12,FALSE)+VLOOKUP(A28,'Change in Proportion Layers'!$A$8:$V$321,18,FALSE)</f>
        <v>-53599</v>
      </c>
      <c r="T28" s="246">
        <f>+N28+VLOOKUP(A28,'Change in Proportion Layers'!$A$8:$V$321,6,FALSE)+VLOOKUP(A28,'Change in Proportion Layers'!$A$8:$V$321,13,FALSE)</f>
        <v>-27543</v>
      </c>
      <c r="U28" s="246">
        <f>+O28+VLOOKUP(A28,'Change in Proportion Layers'!$A$8:$V$321,7,FALSE)-1</f>
        <v>-39895</v>
      </c>
      <c r="W28" s="246">
        <f>('OPEB Amounts_Report'!G28-'OPEB Amounts_Report'!M28)</f>
        <v>-298128</v>
      </c>
      <c r="X28" s="282">
        <f>SUM(Q28:U28)-('OPEB Amounts_Report'!G28-'OPEB Amounts_Report'!M28)</f>
        <v>0</v>
      </c>
    </row>
    <row r="29" spans="1:24" s="8" customFormat="1">
      <c r="A29" s="237">
        <v>575</v>
      </c>
      <c r="B29" s="238" t="s">
        <v>411</v>
      </c>
      <c r="C29" s="48">
        <f t="shared" si="0"/>
        <v>76410</v>
      </c>
      <c r="D29" s="48">
        <f t="shared" si="1"/>
        <v>106993</v>
      </c>
      <c r="E29" s="48">
        <f t="shared" si="2"/>
        <v>96230</v>
      </c>
      <c r="F29" s="48">
        <f t="shared" si="3"/>
        <v>60477</v>
      </c>
      <c r="G29" s="48">
        <f t="shared" si="4"/>
        <v>21591</v>
      </c>
      <c r="I29" s="51"/>
      <c r="K29" s="156">
        <f>ROUND(VLOOKUP($A29,'Contribution Allocation_Report'!$A$9:$D$310,4,FALSE)*$K$323,0)</f>
        <v>-82502</v>
      </c>
      <c r="L29" s="156">
        <f>ROUND(VLOOKUP($A29,'Contribution Allocation_Report'!$A$9:$D$310,4,FALSE)*$L$323,0)</f>
        <v>-51919</v>
      </c>
      <c r="M29" s="156">
        <f>ROUND(VLOOKUP($A29,'Contribution Allocation_Report'!$A$9:$D$310,4,FALSE)*$M$323,0)</f>
        <v>-29499</v>
      </c>
      <c r="N29" s="156">
        <f>ROUND(VLOOKUP($A29,'Contribution Allocation_Report'!$A$9:$D$310,4,FALSE)*$N$323,0)</f>
        <v>-5866</v>
      </c>
      <c r="O29" s="246">
        <f>ROUND(VLOOKUP($A29,'Contribution Allocation_Report'!$A$9:$D$310,4,FALSE)*$O$323,0)</f>
        <v>-24125</v>
      </c>
      <c r="Q29" s="246">
        <f>+K29+VLOOKUP(A29,'Change in Proportion Layers'!$A$8:$I$321,3,FALSE)+VLOOKUP(A29,'Change in Proportion Layers'!$A$8:$V$321,10,FALSE)+VLOOKUP(A29,'Change in Proportion Layers'!$A$8:$V$321,16,FALSE)+VLOOKUP(A29,'Change in Proportion Layers'!$A$8:$V$321,21,FALSE)</f>
        <v>76410</v>
      </c>
      <c r="R29" s="246">
        <f>+L29+VLOOKUP(A29,'Change in Proportion Layers'!$A$8:$V$321,4,FALSE)+VLOOKUP(A29,'Change in Proportion Layers'!$A$8:$V$321,11,FALSE)+VLOOKUP(A29,'Change in Proportion Layers'!$A$8:$V$321,17,FALSE)+VLOOKUP(A29,'Change in Proportion Layers'!$A$8:$V$321,22,FALSE)</f>
        <v>106993</v>
      </c>
      <c r="S29" s="246">
        <f>+M29+VLOOKUP(A29,'Change in Proportion Layers'!$A$8:$V$321,5,FALSE)+VLOOKUP(A29,'Change in Proportion Layers'!$A$8:$V$321,12,FALSE)+VLOOKUP(A29,'Change in Proportion Layers'!$A$8:$V$321,18,FALSE)</f>
        <v>96230</v>
      </c>
      <c r="T29" s="246">
        <f>+N29+VLOOKUP(A29,'Change in Proportion Layers'!$A$8:$V$321,6,FALSE)+VLOOKUP(A29,'Change in Proportion Layers'!$A$8:$V$321,13,FALSE)</f>
        <v>60477</v>
      </c>
      <c r="U29" s="246">
        <f>+O29+VLOOKUP(A29,'Change in Proportion Layers'!$A$8:$V$321,7,FALSE)-1</f>
        <v>21591</v>
      </c>
      <c r="W29" s="246">
        <f>('OPEB Amounts_Report'!G29-'OPEB Amounts_Report'!M29)</f>
        <v>361701</v>
      </c>
      <c r="X29" s="282">
        <f>SUM(Q29:U29)-('OPEB Amounts_Report'!G29-'OPEB Amounts_Report'!M29)</f>
        <v>0</v>
      </c>
    </row>
    <row r="30" spans="1:24" s="8" customFormat="1">
      <c r="A30" s="235">
        <v>2303</v>
      </c>
      <c r="B30" s="236" t="s">
        <v>20</v>
      </c>
      <c r="C30" s="245">
        <f t="shared" si="0"/>
        <v>-286549</v>
      </c>
      <c r="D30" s="245">
        <f t="shared" si="1"/>
        <v>-208852</v>
      </c>
      <c r="E30" s="245">
        <f t="shared" si="2"/>
        <v>-135632</v>
      </c>
      <c r="F30" s="245">
        <f t="shared" si="3"/>
        <v>-49224</v>
      </c>
      <c r="G30" s="245">
        <f t="shared" si="4"/>
        <v>-74362</v>
      </c>
      <c r="I30" s="51"/>
      <c r="K30" s="156">
        <f>ROUND(VLOOKUP($A30,'Contribution Allocation_Report'!$A$9:$D$310,4,FALSE)*$K$323,0)</f>
        <v>-207614</v>
      </c>
      <c r="L30" s="156">
        <f>ROUND(VLOOKUP($A30,'Contribution Allocation_Report'!$A$9:$D$310,4,FALSE)*$L$323,0)</f>
        <v>-130653</v>
      </c>
      <c r="M30" s="156">
        <f>ROUND(VLOOKUP($A30,'Contribution Allocation_Report'!$A$9:$D$310,4,FALSE)*$M$323,0)</f>
        <v>-74235</v>
      </c>
      <c r="N30" s="156">
        <f>ROUND(VLOOKUP($A30,'Contribution Allocation_Report'!$A$9:$D$310,4,FALSE)*$N$323,0)</f>
        <v>-14761</v>
      </c>
      <c r="O30" s="246">
        <f>ROUND(VLOOKUP($A30,'Contribution Allocation_Report'!$A$9:$D$310,4,FALSE)*$O$323,0)</f>
        <v>-60710</v>
      </c>
      <c r="Q30" s="246">
        <f>+K30+VLOOKUP(A30,'Change in Proportion Layers'!$A$8:$I$321,3,FALSE)+VLOOKUP(A30,'Change in Proportion Layers'!$A$8:$V$321,10,FALSE)+VLOOKUP(A30,'Change in Proportion Layers'!$A$8:$V$321,16,FALSE)+VLOOKUP(A30,'Change in Proportion Layers'!$A$8:$V$321,21,FALSE)</f>
        <v>-286549</v>
      </c>
      <c r="R30" s="246">
        <f>+L30+VLOOKUP(A30,'Change in Proportion Layers'!$A$8:$V$321,4,FALSE)+VLOOKUP(A30,'Change in Proportion Layers'!$A$8:$V$321,11,FALSE)+VLOOKUP(A30,'Change in Proportion Layers'!$A$8:$V$321,17,FALSE)+VLOOKUP(A30,'Change in Proportion Layers'!$A$8:$V$321,22,FALSE)</f>
        <v>-208852</v>
      </c>
      <c r="S30" s="246">
        <f>+M30+VLOOKUP(A30,'Change in Proportion Layers'!$A$8:$V$321,5,FALSE)+VLOOKUP(A30,'Change in Proportion Layers'!$A$8:$V$321,12,FALSE)+VLOOKUP(A30,'Change in Proportion Layers'!$A$8:$V$321,18,FALSE)</f>
        <v>-135632</v>
      </c>
      <c r="T30" s="246">
        <f>+N30+VLOOKUP(A30,'Change in Proportion Layers'!$A$8:$V$321,6,FALSE)+VLOOKUP(A30,'Change in Proportion Layers'!$A$8:$V$321,13,FALSE)</f>
        <v>-49224</v>
      </c>
      <c r="U30" s="246">
        <f>+O30+VLOOKUP(A30,'Change in Proportion Layers'!$A$8:$V$321,7,FALSE)+1</f>
        <v>-74362</v>
      </c>
      <c r="W30" s="246">
        <f>('OPEB Amounts_Report'!G30-'OPEB Amounts_Report'!M30)</f>
        <v>-754619</v>
      </c>
      <c r="X30" s="282">
        <f>SUM(Q30:U30)-('OPEB Amounts_Report'!G30-'OPEB Amounts_Report'!M30)</f>
        <v>0</v>
      </c>
    </row>
    <row r="31" spans="1:24" s="8" customFormat="1">
      <c r="A31" s="237">
        <v>20316</v>
      </c>
      <c r="B31" s="238" t="s">
        <v>21</v>
      </c>
      <c r="C31" s="48">
        <f t="shared" si="0"/>
        <v>-88604</v>
      </c>
      <c r="D31" s="48">
        <f t="shared" si="1"/>
        <v>-49282</v>
      </c>
      <c r="E31" s="48">
        <f t="shared" si="2"/>
        <v>-21851</v>
      </c>
      <c r="F31" s="48">
        <f t="shared" si="3"/>
        <v>8542</v>
      </c>
      <c r="G31" s="48">
        <f t="shared" si="4"/>
        <v>-17860</v>
      </c>
      <c r="I31" s="51"/>
      <c r="K31" s="156">
        <f>ROUND(VLOOKUP($A31,'Contribution Allocation_Report'!$A$9:$D$310,4,FALSE)*$K$323,0)</f>
        <v>-107768</v>
      </c>
      <c r="L31" s="156">
        <f>ROUND(VLOOKUP($A31,'Contribution Allocation_Report'!$A$9:$D$310,4,FALSE)*$L$323,0)</f>
        <v>-67819</v>
      </c>
      <c r="M31" s="156">
        <f>ROUND(VLOOKUP($A31,'Contribution Allocation_Report'!$A$9:$D$310,4,FALSE)*$M$323,0)</f>
        <v>-38534</v>
      </c>
      <c r="N31" s="156">
        <f>ROUND(VLOOKUP($A31,'Contribution Allocation_Report'!$A$9:$D$310,4,FALSE)*$N$323,0)</f>
        <v>-7662</v>
      </c>
      <c r="O31" s="246">
        <f>ROUND(VLOOKUP($A31,'Contribution Allocation_Report'!$A$9:$D$310,4,FALSE)*$O$323,0)</f>
        <v>-31513</v>
      </c>
      <c r="Q31" s="246">
        <f>+K31+VLOOKUP(A31,'Change in Proportion Layers'!$A$8:$I$321,3,FALSE)+VLOOKUP(A31,'Change in Proportion Layers'!$A$8:$V$321,10,FALSE)+VLOOKUP(A31,'Change in Proportion Layers'!$A$8:$V$321,16,FALSE)+VLOOKUP(A31,'Change in Proportion Layers'!$A$8:$V$321,21,FALSE)</f>
        <v>-88604</v>
      </c>
      <c r="R31" s="246">
        <f>+L31+VLOOKUP(A31,'Change in Proportion Layers'!$A$8:$V$321,4,FALSE)+VLOOKUP(A31,'Change in Proportion Layers'!$A$8:$V$321,11,FALSE)+VLOOKUP(A31,'Change in Proportion Layers'!$A$8:$V$321,17,FALSE)+VLOOKUP(A31,'Change in Proportion Layers'!$A$8:$V$321,22,FALSE)</f>
        <v>-49282</v>
      </c>
      <c r="S31" s="246">
        <f>+M31+VLOOKUP(A31,'Change in Proportion Layers'!$A$8:$V$321,5,FALSE)+VLOOKUP(A31,'Change in Proportion Layers'!$A$8:$V$321,12,FALSE)+VLOOKUP(A31,'Change in Proportion Layers'!$A$8:$V$321,18,FALSE)</f>
        <v>-21851</v>
      </c>
      <c r="T31" s="246">
        <f>+N31+VLOOKUP(A31,'Change in Proportion Layers'!$A$8:$V$321,6,FALSE)+VLOOKUP(A31,'Change in Proportion Layers'!$A$8:$V$321,13,FALSE)</f>
        <v>8542</v>
      </c>
      <c r="U31" s="246">
        <f>+O31+VLOOKUP(A31,'Change in Proportion Layers'!$A$8:$V$321,7,FALSE)</f>
        <v>-17860</v>
      </c>
      <c r="W31" s="246">
        <f>('OPEB Amounts_Report'!G31-'OPEB Amounts_Report'!M31)</f>
        <v>-169055</v>
      </c>
      <c r="X31" s="282">
        <f>SUM(Q31:U31)-('OPEB Amounts_Report'!G31-'OPEB Amounts_Report'!M31)</f>
        <v>0</v>
      </c>
    </row>
    <row r="32" spans="1:24" s="8" customFormat="1">
      <c r="A32" s="235">
        <v>23121</v>
      </c>
      <c r="B32" s="236" t="s">
        <v>22</v>
      </c>
      <c r="C32" s="245">
        <f t="shared" si="0"/>
        <v>-191484</v>
      </c>
      <c r="D32" s="245">
        <f t="shared" si="1"/>
        <v>-140887</v>
      </c>
      <c r="E32" s="245">
        <f t="shared" si="2"/>
        <v>-91874</v>
      </c>
      <c r="F32" s="245">
        <f t="shared" si="3"/>
        <v>-39065</v>
      </c>
      <c r="G32" s="245">
        <f t="shared" si="4"/>
        <v>-56904</v>
      </c>
      <c r="I32" s="51"/>
      <c r="K32" s="156">
        <f>ROUND(VLOOKUP($A32,'Contribution Allocation_Report'!$A$9:$D$310,4,FALSE)*$K$323,0)</f>
        <v>-131347</v>
      </c>
      <c r="L32" s="156">
        <f>ROUND(VLOOKUP($A32,'Contribution Allocation_Report'!$A$9:$D$310,4,FALSE)*$L$323,0)</f>
        <v>-82657</v>
      </c>
      <c r="M32" s="156">
        <f>ROUND(VLOOKUP($A32,'Contribution Allocation_Report'!$A$9:$D$310,4,FALSE)*$M$323,0)</f>
        <v>-46964</v>
      </c>
      <c r="N32" s="156">
        <f>ROUND(VLOOKUP($A32,'Contribution Allocation_Report'!$A$9:$D$310,4,FALSE)*$N$323,0)</f>
        <v>-9339</v>
      </c>
      <c r="O32" s="246">
        <f>ROUND(VLOOKUP($A32,'Contribution Allocation_Report'!$A$9:$D$310,4,FALSE)*$O$323,0)</f>
        <v>-38408</v>
      </c>
      <c r="Q32" s="246">
        <f>+K32+VLOOKUP(A32,'Change in Proportion Layers'!$A$8:$I$321,3,FALSE)+VLOOKUP(A32,'Change in Proportion Layers'!$A$8:$V$321,10,FALSE)+VLOOKUP(A32,'Change in Proportion Layers'!$A$8:$V$321,16,FALSE)+VLOOKUP(A32,'Change in Proportion Layers'!$A$8:$V$321,21,FALSE)</f>
        <v>-191484</v>
      </c>
      <c r="R32" s="246">
        <f>+L32+VLOOKUP(A32,'Change in Proportion Layers'!$A$8:$V$321,4,FALSE)+VLOOKUP(A32,'Change in Proportion Layers'!$A$8:$V$321,11,FALSE)+VLOOKUP(A32,'Change in Proportion Layers'!$A$8:$V$321,17,FALSE)+VLOOKUP(A32,'Change in Proportion Layers'!$A$8:$V$321,22,FALSE)</f>
        <v>-140887</v>
      </c>
      <c r="S32" s="246">
        <f>+M32+VLOOKUP(A32,'Change in Proportion Layers'!$A$8:$V$321,5,FALSE)+VLOOKUP(A32,'Change in Proportion Layers'!$A$8:$V$321,12,FALSE)+VLOOKUP(A32,'Change in Proportion Layers'!$A$8:$V$321,18,FALSE)</f>
        <v>-91874</v>
      </c>
      <c r="T32" s="246">
        <f>+N32+VLOOKUP(A32,'Change in Proportion Layers'!$A$8:$V$321,6,FALSE)+VLOOKUP(A32,'Change in Proportion Layers'!$A$8:$V$321,13,FALSE)</f>
        <v>-39065</v>
      </c>
      <c r="U32" s="246">
        <f>+O32+VLOOKUP(A32,'Change in Proportion Layers'!$A$8:$V$321,7,FALSE)-1</f>
        <v>-56904</v>
      </c>
      <c r="W32" s="246">
        <f>('OPEB Amounts_Report'!G32-'OPEB Amounts_Report'!M32)</f>
        <v>-520214</v>
      </c>
      <c r="X32" s="282">
        <f>SUM(Q32:U32)-('OPEB Amounts_Report'!G32-'OPEB Amounts_Report'!M32)</f>
        <v>0</v>
      </c>
    </row>
    <row r="33" spans="1:24" s="8" customFormat="1">
      <c r="A33" s="237">
        <v>3004</v>
      </c>
      <c r="B33" s="238" t="s">
        <v>23</v>
      </c>
      <c r="C33" s="48">
        <f t="shared" si="0"/>
        <v>-2273637</v>
      </c>
      <c r="D33" s="48">
        <f t="shared" si="1"/>
        <v>-1431106</v>
      </c>
      <c r="E33" s="48">
        <f t="shared" si="2"/>
        <v>-827006</v>
      </c>
      <c r="F33" s="48">
        <f t="shared" si="3"/>
        <v>-136886</v>
      </c>
      <c r="G33" s="48">
        <f t="shared" si="4"/>
        <v>-589150</v>
      </c>
      <c r="I33" s="51"/>
      <c r="K33" s="156">
        <f>ROUND(VLOOKUP($A33,'Contribution Allocation_Report'!$A$9:$D$310,4,FALSE)*$K$323,0)</f>
        <v>-2314131</v>
      </c>
      <c r="L33" s="156">
        <f>ROUND(VLOOKUP($A33,'Contribution Allocation_Report'!$A$9:$D$310,4,FALSE)*$L$323,0)</f>
        <v>-1456297</v>
      </c>
      <c r="M33" s="156">
        <f>ROUND(VLOOKUP($A33,'Contribution Allocation_Report'!$A$9:$D$310,4,FALSE)*$M$323,0)</f>
        <v>-827441</v>
      </c>
      <c r="N33" s="156">
        <f>ROUND(VLOOKUP($A33,'Contribution Allocation_Report'!$A$9:$D$310,4,FALSE)*$N$323,0)</f>
        <v>-164535</v>
      </c>
      <c r="O33" s="246">
        <f>ROUND(VLOOKUP($A33,'Contribution Allocation_Report'!$A$9:$D$310,4,FALSE)*$O$323,0)</f>
        <v>-676694</v>
      </c>
      <c r="Q33" s="246">
        <f>+K33+VLOOKUP(A33,'Change in Proportion Layers'!$A$8:$I$321,3,FALSE)+VLOOKUP(A33,'Change in Proportion Layers'!$A$8:$V$321,10,FALSE)+VLOOKUP(A33,'Change in Proportion Layers'!$A$8:$V$321,16,FALSE)+VLOOKUP(A33,'Change in Proportion Layers'!$A$8:$V$321,21,FALSE)</f>
        <v>-2273637</v>
      </c>
      <c r="R33" s="246">
        <f>+L33+VLOOKUP(A33,'Change in Proportion Layers'!$A$8:$V$321,4,FALSE)+VLOOKUP(A33,'Change in Proportion Layers'!$A$8:$V$321,11,FALSE)+VLOOKUP(A33,'Change in Proportion Layers'!$A$8:$V$321,17,FALSE)+VLOOKUP(A33,'Change in Proportion Layers'!$A$8:$V$321,22,FALSE)</f>
        <v>-1431106</v>
      </c>
      <c r="S33" s="246">
        <f>+M33+VLOOKUP(A33,'Change in Proportion Layers'!$A$8:$V$321,5,FALSE)+VLOOKUP(A33,'Change in Proportion Layers'!$A$8:$V$321,12,FALSE)+VLOOKUP(A33,'Change in Proportion Layers'!$A$8:$V$321,18,FALSE)</f>
        <v>-827006</v>
      </c>
      <c r="T33" s="246">
        <f>+N33+VLOOKUP(A33,'Change in Proportion Layers'!$A$8:$V$321,6,FALSE)+VLOOKUP(A33,'Change in Proportion Layers'!$A$8:$V$321,13,FALSE)</f>
        <v>-136886</v>
      </c>
      <c r="U33" s="246">
        <f>+O33+VLOOKUP(A33,'Change in Proportion Layers'!$A$8:$V$321,7,FALSE)+1</f>
        <v>-589150</v>
      </c>
      <c r="W33" s="246">
        <f>('OPEB Amounts_Report'!G33-'OPEB Amounts_Report'!M33)</f>
        <v>-5257785</v>
      </c>
      <c r="X33" s="282">
        <f>SUM(Q33:U33)-('OPEB Amounts_Report'!G33-'OPEB Amounts_Report'!M33)</f>
        <v>0</v>
      </c>
    </row>
    <row r="34" spans="1:24" s="8" customFormat="1">
      <c r="A34" s="235">
        <v>16050</v>
      </c>
      <c r="B34" s="236" t="s">
        <v>24</v>
      </c>
      <c r="C34" s="245">
        <f t="shared" si="0"/>
        <v>-1681230</v>
      </c>
      <c r="D34" s="245">
        <f t="shared" si="1"/>
        <v>-1061421</v>
      </c>
      <c r="E34" s="245">
        <f t="shared" si="2"/>
        <v>-521254</v>
      </c>
      <c r="F34" s="245">
        <f t="shared" si="3"/>
        <v>-29017</v>
      </c>
      <c r="G34" s="245">
        <f t="shared" si="4"/>
        <v>-403982</v>
      </c>
      <c r="I34" s="51"/>
      <c r="K34" s="156">
        <f>ROUND(VLOOKUP($A34,'Contribution Allocation_Report'!$A$9:$D$310,4,FALSE)*$K$323,0)</f>
        <v>-1579395</v>
      </c>
      <c r="L34" s="156">
        <f>ROUND(VLOOKUP($A34,'Contribution Allocation_Report'!$A$9:$D$310,4,FALSE)*$L$323,0)</f>
        <v>-993923</v>
      </c>
      <c r="M34" s="156">
        <f>ROUND(VLOOKUP($A34,'Contribution Allocation_Report'!$A$9:$D$310,4,FALSE)*$M$323,0)</f>
        <v>-564729</v>
      </c>
      <c r="N34" s="156">
        <f>ROUND(VLOOKUP($A34,'Contribution Allocation_Report'!$A$9:$D$310,4,FALSE)*$N$323,0)</f>
        <v>-112295</v>
      </c>
      <c r="O34" s="246">
        <f>ROUND(VLOOKUP($A34,'Contribution Allocation_Report'!$A$9:$D$310,4,FALSE)*$O$323,0)</f>
        <v>-461844</v>
      </c>
      <c r="Q34" s="246">
        <f>+K34+VLOOKUP(A34,'Change in Proportion Layers'!$A$8:$I$321,3,FALSE)+VLOOKUP(A34,'Change in Proportion Layers'!$A$8:$V$321,10,FALSE)+VLOOKUP(A34,'Change in Proportion Layers'!$A$8:$V$321,16,FALSE)+VLOOKUP(A34,'Change in Proportion Layers'!$A$8:$V$321,21,FALSE)</f>
        <v>-1681230</v>
      </c>
      <c r="R34" s="246">
        <f>+L34+VLOOKUP(A34,'Change in Proportion Layers'!$A$8:$V$321,4,FALSE)+VLOOKUP(A34,'Change in Proportion Layers'!$A$8:$V$321,11,FALSE)+VLOOKUP(A34,'Change in Proportion Layers'!$A$8:$V$321,17,FALSE)+VLOOKUP(A34,'Change in Proportion Layers'!$A$8:$V$321,22,FALSE)</f>
        <v>-1061421</v>
      </c>
      <c r="S34" s="246">
        <f>+M34+VLOOKUP(A34,'Change in Proportion Layers'!$A$8:$V$321,5,FALSE)+VLOOKUP(A34,'Change in Proportion Layers'!$A$8:$V$321,12,FALSE)+VLOOKUP(A34,'Change in Proportion Layers'!$A$8:$V$321,18,FALSE)</f>
        <v>-521254</v>
      </c>
      <c r="T34" s="246">
        <f>+N34+VLOOKUP(A34,'Change in Proportion Layers'!$A$8:$V$321,6,FALSE)+VLOOKUP(A34,'Change in Proportion Layers'!$A$8:$V$321,13,FALSE)</f>
        <v>-29017</v>
      </c>
      <c r="U34" s="246">
        <f>+O34+VLOOKUP(A34,'Change in Proportion Layers'!$A$8:$V$321,7,FALSE)</f>
        <v>-403982</v>
      </c>
      <c r="W34" s="246">
        <f>('OPEB Amounts_Report'!G34-'OPEB Amounts_Report'!M34)</f>
        <v>-3696904</v>
      </c>
      <c r="X34" s="282">
        <f>SUM(Q34:U34)-('OPEB Amounts_Report'!G34-'OPEB Amounts_Report'!M34)</f>
        <v>0</v>
      </c>
    </row>
    <row r="35" spans="1:24" s="8" customFormat="1">
      <c r="A35" s="237">
        <v>14043</v>
      </c>
      <c r="B35" s="238" t="s">
        <v>25</v>
      </c>
      <c r="C35" s="48">
        <f t="shared" si="0"/>
        <v>-2390757</v>
      </c>
      <c r="D35" s="48">
        <f t="shared" si="1"/>
        <v>-1459235</v>
      </c>
      <c r="E35" s="48">
        <f t="shared" si="2"/>
        <v>-802675</v>
      </c>
      <c r="F35" s="48">
        <f t="shared" si="3"/>
        <v>-624230</v>
      </c>
      <c r="G35" s="48">
        <f t="shared" si="4"/>
        <v>-731706</v>
      </c>
      <c r="I35" s="51"/>
      <c r="K35" s="156">
        <f>ROUND(VLOOKUP($A35,'Contribution Allocation_Report'!$A$9:$D$310,4,FALSE)*$K$323,0)</f>
        <v>-2177628</v>
      </c>
      <c r="L35" s="156">
        <f>ROUND(VLOOKUP($A35,'Contribution Allocation_Report'!$A$9:$D$310,4,FALSE)*$L$323,0)</f>
        <v>-1370394</v>
      </c>
      <c r="M35" s="156">
        <f>ROUND(VLOOKUP($A35,'Contribution Allocation_Report'!$A$9:$D$310,4,FALSE)*$M$323,0)</f>
        <v>-778633</v>
      </c>
      <c r="N35" s="156">
        <f>ROUND(VLOOKUP($A35,'Contribution Allocation_Report'!$A$9:$D$310,4,FALSE)*$N$323,0)</f>
        <v>-154829</v>
      </c>
      <c r="O35" s="246">
        <f>ROUND(VLOOKUP($A35,'Contribution Allocation_Report'!$A$9:$D$310,4,FALSE)*$O$323,0)</f>
        <v>-636778</v>
      </c>
      <c r="Q35" s="246">
        <f>+K35+VLOOKUP(A35,'Change in Proportion Layers'!$A$8:$I$321,3,FALSE)+VLOOKUP(A35,'Change in Proportion Layers'!$A$8:$V$321,10,FALSE)+VLOOKUP(A35,'Change in Proportion Layers'!$A$8:$V$321,16,FALSE)+VLOOKUP(A35,'Change in Proportion Layers'!$A$8:$V$321,21,FALSE)</f>
        <v>-2390757</v>
      </c>
      <c r="R35" s="246">
        <f>+L35+VLOOKUP(A35,'Change in Proportion Layers'!$A$8:$V$321,4,FALSE)+VLOOKUP(A35,'Change in Proportion Layers'!$A$8:$V$321,11,FALSE)+VLOOKUP(A35,'Change in Proportion Layers'!$A$8:$V$321,17,FALSE)+VLOOKUP(A35,'Change in Proportion Layers'!$A$8:$V$321,22,FALSE)</f>
        <v>-1459235</v>
      </c>
      <c r="S35" s="246">
        <f>+M35+VLOOKUP(A35,'Change in Proportion Layers'!$A$8:$V$321,5,FALSE)+VLOOKUP(A35,'Change in Proportion Layers'!$A$8:$V$321,12,FALSE)+VLOOKUP(A35,'Change in Proportion Layers'!$A$8:$V$321,18,FALSE)</f>
        <v>-802675</v>
      </c>
      <c r="T35" s="246">
        <f>+N35+VLOOKUP(A35,'Change in Proportion Layers'!$A$8:$V$321,6,FALSE)+VLOOKUP(A35,'Change in Proportion Layers'!$A$8:$V$321,13,FALSE)</f>
        <v>-624230</v>
      </c>
      <c r="U35" s="246">
        <f>+O35+VLOOKUP(A35,'Change in Proportion Layers'!$A$8:$V$321,7,FALSE)</f>
        <v>-731706</v>
      </c>
      <c r="W35" s="246">
        <f>('OPEB Amounts_Report'!G35-'OPEB Amounts_Report'!M35)</f>
        <v>-6008603</v>
      </c>
      <c r="X35" s="282">
        <f>SUM(Q35:U35)-('OPEB Amounts_Report'!G35-'OPEB Amounts_Report'!M35)</f>
        <v>0</v>
      </c>
    </row>
    <row r="36" spans="1:24" s="8" customFormat="1">
      <c r="A36" s="235">
        <v>3010</v>
      </c>
      <c r="B36" s="236" t="s">
        <v>26</v>
      </c>
      <c r="C36" s="245">
        <f t="shared" si="0"/>
        <v>-13315834</v>
      </c>
      <c r="D36" s="245">
        <f t="shared" si="1"/>
        <v>-8292747</v>
      </c>
      <c r="E36" s="245">
        <f t="shared" si="2"/>
        <v>-4914053</v>
      </c>
      <c r="F36" s="245">
        <f t="shared" si="3"/>
        <v>-1408656</v>
      </c>
      <c r="G36" s="245">
        <f t="shared" si="4"/>
        <v>-3684878</v>
      </c>
      <c r="I36" s="51"/>
      <c r="K36" s="156">
        <f>ROUND(VLOOKUP($A36,'Contribution Allocation_Report'!$A$9:$D$310,4,FALSE)*$K$323,0)</f>
        <v>-13649373</v>
      </c>
      <c r="L36" s="156">
        <f>ROUND(VLOOKUP($A36,'Contribution Allocation_Report'!$A$9:$D$310,4,FALSE)*$L$323,0)</f>
        <v>-8589633</v>
      </c>
      <c r="M36" s="156">
        <f>ROUND(VLOOKUP($A36,'Contribution Allocation_Report'!$A$9:$D$310,4,FALSE)*$M$323,0)</f>
        <v>-4880472</v>
      </c>
      <c r="N36" s="156">
        <f>ROUND(VLOOKUP($A36,'Contribution Allocation_Report'!$A$9:$D$310,4,FALSE)*$N$323,0)</f>
        <v>-970471</v>
      </c>
      <c r="O36" s="246">
        <f>ROUND(VLOOKUP($A36,'Contribution Allocation_Report'!$A$9:$D$310,4,FALSE)*$O$323,0)</f>
        <v>-3991325</v>
      </c>
      <c r="Q36" s="246">
        <f>+K36+VLOOKUP(A36,'Change in Proportion Layers'!$A$8:$I$321,3,FALSE)+VLOOKUP(A36,'Change in Proportion Layers'!$A$8:$V$321,10,FALSE)+VLOOKUP(A36,'Change in Proportion Layers'!$A$8:$V$321,16,FALSE)+VLOOKUP(A36,'Change in Proportion Layers'!$A$8:$V$321,21,FALSE)</f>
        <v>-13315834</v>
      </c>
      <c r="R36" s="246">
        <f>+L36+VLOOKUP(A36,'Change in Proportion Layers'!$A$8:$V$321,4,FALSE)+VLOOKUP(A36,'Change in Proportion Layers'!$A$8:$V$321,11,FALSE)+VLOOKUP(A36,'Change in Proportion Layers'!$A$8:$V$321,17,FALSE)+VLOOKUP(A36,'Change in Proportion Layers'!$A$8:$V$321,22,FALSE)</f>
        <v>-8292747</v>
      </c>
      <c r="S36" s="246">
        <f>+M36+VLOOKUP(A36,'Change in Proportion Layers'!$A$8:$V$321,5,FALSE)+VLOOKUP(A36,'Change in Proportion Layers'!$A$8:$V$321,12,FALSE)+VLOOKUP(A36,'Change in Proportion Layers'!$A$8:$V$321,18,FALSE)</f>
        <v>-4914053</v>
      </c>
      <c r="T36" s="246">
        <f>+N36+VLOOKUP(A36,'Change in Proportion Layers'!$A$8:$V$321,6,FALSE)+VLOOKUP(A36,'Change in Proportion Layers'!$A$8:$V$321,13,FALSE)</f>
        <v>-1408656</v>
      </c>
      <c r="U36" s="246">
        <f>+O36+VLOOKUP(A36,'Change in Proportion Layers'!$A$8:$V$321,7,FALSE)-1</f>
        <v>-3684878</v>
      </c>
      <c r="W36" s="246">
        <f>('OPEB Amounts_Report'!G36-'OPEB Amounts_Report'!M36)</f>
        <v>-31616168</v>
      </c>
      <c r="X36" s="282">
        <f>SUM(Q36:U36)-('OPEB Amounts_Report'!G36-'OPEB Amounts_Report'!M36)</f>
        <v>0</v>
      </c>
    </row>
    <row r="37" spans="1:24" s="8" customFormat="1">
      <c r="A37" s="237">
        <v>29086</v>
      </c>
      <c r="B37" s="238" t="s">
        <v>27</v>
      </c>
      <c r="C37" s="48">
        <f t="shared" si="0"/>
        <v>-2213321</v>
      </c>
      <c r="D37" s="48">
        <f t="shared" si="1"/>
        <v>-1402193</v>
      </c>
      <c r="E37" s="48">
        <f t="shared" si="2"/>
        <v>-748170</v>
      </c>
      <c r="F37" s="48">
        <f t="shared" si="3"/>
        <v>-240006</v>
      </c>
      <c r="G37" s="48">
        <f t="shared" si="4"/>
        <v>-752529</v>
      </c>
      <c r="I37" s="51"/>
      <c r="K37" s="156">
        <f>ROUND(VLOOKUP($A37,'Contribution Allocation_Report'!$A$9:$D$310,4,FALSE)*$K$323,0)</f>
        <v>-2039296</v>
      </c>
      <c r="L37" s="156">
        <f>ROUND(VLOOKUP($A37,'Contribution Allocation_Report'!$A$9:$D$310,4,FALSE)*$L$323,0)</f>
        <v>-1283342</v>
      </c>
      <c r="M37" s="156">
        <f>ROUND(VLOOKUP($A37,'Contribution Allocation_Report'!$A$9:$D$310,4,FALSE)*$M$323,0)</f>
        <v>-729171</v>
      </c>
      <c r="N37" s="156">
        <f>ROUND(VLOOKUP($A37,'Contribution Allocation_Report'!$A$9:$D$310,4,FALSE)*$N$323,0)</f>
        <v>-144994</v>
      </c>
      <c r="O37" s="246">
        <f>ROUND(VLOOKUP($A37,'Contribution Allocation_Report'!$A$9:$D$310,4,FALSE)*$O$323,0)</f>
        <v>-596327</v>
      </c>
      <c r="Q37" s="246">
        <f>+K37+VLOOKUP(A37,'Change in Proportion Layers'!$A$8:$I$321,3,FALSE)+VLOOKUP(A37,'Change in Proportion Layers'!$A$8:$V$321,10,FALSE)+VLOOKUP(A37,'Change in Proportion Layers'!$A$8:$V$321,16,FALSE)+VLOOKUP(A37,'Change in Proportion Layers'!$A$8:$V$321,21,FALSE)</f>
        <v>-2213321</v>
      </c>
      <c r="R37" s="246">
        <f>+L37+VLOOKUP(A37,'Change in Proportion Layers'!$A$8:$V$321,4,FALSE)+VLOOKUP(A37,'Change in Proportion Layers'!$A$8:$V$321,11,FALSE)+VLOOKUP(A37,'Change in Proportion Layers'!$A$8:$V$321,17,FALSE)+VLOOKUP(A37,'Change in Proportion Layers'!$A$8:$V$321,22,FALSE)</f>
        <v>-1402193</v>
      </c>
      <c r="S37" s="246">
        <f>+M37+VLOOKUP(A37,'Change in Proportion Layers'!$A$8:$V$321,5,FALSE)+VLOOKUP(A37,'Change in Proportion Layers'!$A$8:$V$321,12,FALSE)+VLOOKUP(A37,'Change in Proportion Layers'!$A$8:$V$321,18,FALSE)</f>
        <v>-748170</v>
      </c>
      <c r="T37" s="246">
        <f>+N37+VLOOKUP(A37,'Change in Proportion Layers'!$A$8:$V$321,6,FALSE)+VLOOKUP(A37,'Change in Proportion Layers'!$A$8:$V$321,13,FALSE)</f>
        <v>-240006</v>
      </c>
      <c r="U37" s="246">
        <f>+O37+VLOOKUP(A37,'Change in Proportion Layers'!$A$8:$V$321,7,FALSE)-1</f>
        <v>-752529</v>
      </c>
      <c r="W37" s="246">
        <f>('OPEB Amounts_Report'!G37-'OPEB Amounts_Report'!M37)</f>
        <v>-5356219</v>
      </c>
      <c r="X37" s="282">
        <f>SUM(Q37:U37)-('OPEB Amounts_Report'!G37-'OPEB Amounts_Report'!M37)</f>
        <v>0</v>
      </c>
    </row>
    <row r="38" spans="1:24" s="8" customFormat="1">
      <c r="A38" s="235">
        <v>16051</v>
      </c>
      <c r="B38" s="236" t="s">
        <v>28</v>
      </c>
      <c r="C38" s="245">
        <f t="shared" si="0"/>
        <v>-1646890</v>
      </c>
      <c r="D38" s="245">
        <f t="shared" si="1"/>
        <v>-997810</v>
      </c>
      <c r="E38" s="245">
        <f t="shared" si="2"/>
        <v>-541642</v>
      </c>
      <c r="F38" s="245">
        <f t="shared" si="3"/>
        <v>-39910</v>
      </c>
      <c r="G38" s="245">
        <f t="shared" si="4"/>
        <v>-514753</v>
      </c>
      <c r="I38" s="51"/>
      <c r="K38" s="156">
        <f>ROUND(VLOOKUP($A38,'Contribution Allocation_Report'!$A$9:$D$310,4,FALSE)*$K$323,0)</f>
        <v>-1775525</v>
      </c>
      <c r="L38" s="156">
        <f>ROUND(VLOOKUP($A38,'Contribution Allocation_Report'!$A$9:$D$310,4,FALSE)*$L$323,0)</f>
        <v>-1117348</v>
      </c>
      <c r="M38" s="156">
        <f>ROUND(VLOOKUP($A38,'Contribution Allocation_Report'!$A$9:$D$310,4,FALSE)*$M$323,0)</f>
        <v>-634857</v>
      </c>
      <c r="N38" s="156">
        <f>ROUND(VLOOKUP($A38,'Contribution Allocation_Report'!$A$9:$D$310,4,FALSE)*$N$323,0)</f>
        <v>-126240</v>
      </c>
      <c r="O38" s="246">
        <f>ROUND(VLOOKUP($A38,'Contribution Allocation_Report'!$A$9:$D$310,4,FALSE)*$O$323,0)</f>
        <v>-519196</v>
      </c>
      <c r="Q38" s="246">
        <f>+K38+VLOOKUP(A38,'Change in Proportion Layers'!$A$8:$I$321,3,FALSE)+VLOOKUP(A38,'Change in Proportion Layers'!$A$8:$V$321,10,FALSE)+VLOOKUP(A38,'Change in Proportion Layers'!$A$8:$V$321,16,FALSE)+VLOOKUP(A38,'Change in Proportion Layers'!$A$8:$V$321,21,FALSE)</f>
        <v>-1646890</v>
      </c>
      <c r="R38" s="246">
        <f>+L38+VLOOKUP(A38,'Change in Proportion Layers'!$A$8:$V$321,4,FALSE)+VLOOKUP(A38,'Change in Proportion Layers'!$A$8:$V$321,11,FALSE)+VLOOKUP(A38,'Change in Proportion Layers'!$A$8:$V$321,17,FALSE)+VLOOKUP(A38,'Change in Proportion Layers'!$A$8:$V$321,22,FALSE)</f>
        <v>-997810</v>
      </c>
      <c r="S38" s="246">
        <f>+M38+VLOOKUP(A38,'Change in Proportion Layers'!$A$8:$V$321,5,FALSE)+VLOOKUP(A38,'Change in Proportion Layers'!$A$8:$V$321,12,FALSE)+VLOOKUP(A38,'Change in Proportion Layers'!$A$8:$V$321,18,FALSE)</f>
        <v>-541642</v>
      </c>
      <c r="T38" s="246">
        <f>+N38+VLOOKUP(A38,'Change in Proportion Layers'!$A$8:$V$321,6,FALSE)+VLOOKUP(A38,'Change in Proportion Layers'!$A$8:$V$321,13,FALSE)</f>
        <v>-39910</v>
      </c>
      <c r="U38" s="246">
        <f>+O38+VLOOKUP(A38,'Change in Proportion Layers'!$A$8:$V$321,7,FALSE)</f>
        <v>-514753</v>
      </c>
      <c r="W38" s="246">
        <f>('OPEB Amounts_Report'!G38-'OPEB Amounts_Report'!M38)</f>
        <v>-3741005</v>
      </c>
      <c r="X38" s="282">
        <f>SUM(Q38:U38)-('OPEB Amounts_Report'!G38-'OPEB Amounts_Report'!M38)</f>
        <v>0</v>
      </c>
    </row>
    <row r="39" spans="1:24" s="8" customFormat="1">
      <c r="A39" s="237">
        <v>26077</v>
      </c>
      <c r="B39" s="238" t="s">
        <v>29</v>
      </c>
      <c r="C39" s="48">
        <f t="shared" si="0"/>
        <v>-308009</v>
      </c>
      <c r="D39" s="48">
        <f t="shared" si="1"/>
        <v>-192003</v>
      </c>
      <c r="E39" s="48">
        <f t="shared" si="2"/>
        <v>-121705</v>
      </c>
      <c r="F39" s="48">
        <f t="shared" si="3"/>
        <v>-28712</v>
      </c>
      <c r="G39" s="48">
        <f t="shared" si="4"/>
        <v>-109930</v>
      </c>
      <c r="I39" s="51"/>
      <c r="K39" s="156">
        <f>ROUND(VLOOKUP($A39,'Contribution Allocation_Report'!$A$9:$D$310,4,FALSE)*$K$323,0)</f>
        <v>-332773</v>
      </c>
      <c r="L39" s="156">
        <f>ROUND(VLOOKUP($A39,'Contribution Allocation_Report'!$A$9:$D$310,4,FALSE)*$L$323,0)</f>
        <v>-209416</v>
      </c>
      <c r="M39" s="156">
        <f>ROUND(VLOOKUP($A39,'Contribution Allocation_Report'!$A$9:$D$310,4,FALSE)*$M$323,0)</f>
        <v>-118986</v>
      </c>
      <c r="N39" s="156">
        <f>ROUND(VLOOKUP($A39,'Contribution Allocation_Report'!$A$9:$D$310,4,FALSE)*$N$323,0)</f>
        <v>-23660</v>
      </c>
      <c r="O39" s="246">
        <f>ROUND(VLOOKUP($A39,'Contribution Allocation_Report'!$A$9:$D$310,4,FALSE)*$O$323,0)</f>
        <v>-97309</v>
      </c>
      <c r="Q39" s="246">
        <f>+K39+VLOOKUP(A39,'Change in Proportion Layers'!$A$8:$I$321,3,FALSE)+VLOOKUP(A39,'Change in Proportion Layers'!$A$8:$V$321,10,FALSE)+VLOOKUP(A39,'Change in Proportion Layers'!$A$8:$V$321,16,FALSE)+VLOOKUP(A39,'Change in Proportion Layers'!$A$8:$V$321,21,FALSE)</f>
        <v>-308009</v>
      </c>
      <c r="R39" s="246">
        <f>+L39+VLOOKUP(A39,'Change in Proportion Layers'!$A$8:$V$321,4,FALSE)+VLOOKUP(A39,'Change in Proportion Layers'!$A$8:$V$321,11,FALSE)+VLOOKUP(A39,'Change in Proportion Layers'!$A$8:$V$321,17,FALSE)+VLOOKUP(A39,'Change in Proportion Layers'!$A$8:$V$321,22,FALSE)</f>
        <v>-192003</v>
      </c>
      <c r="S39" s="246">
        <f>+M39+VLOOKUP(A39,'Change in Proportion Layers'!$A$8:$V$321,5,FALSE)+VLOOKUP(A39,'Change in Proportion Layers'!$A$8:$V$321,12,FALSE)+VLOOKUP(A39,'Change in Proportion Layers'!$A$8:$V$321,18,FALSE)</f>
        <v>-121705</v>
      </c>
      <c r="T39" s="246">
        <f>+N39+VLOOKUP(A39,'Change in Proportion Layers'!$A$8:$V$321,6,FALSE)+VLOOKUP(A39,'Change in Proportion Layers'!$A$8:$V$321,13,FALSE)</f>
        <v>-28712</v>
      </c>
      <c r="U39" s="246">
        <f>+O39+VLOOKUP(A39,'Change in Proportion Layers'!$A$8:$V$321,7,FALSE)</f>
        <v>-109930</v>
      </c>
      <c r="W39" s="246">
        <f>('OPEB Amounts_Report'!G39-'OPEB Amounts_Report'!M39)</f>
        <v>-760359</v>
      </c>
      <c r="X39" s="282">
        <f>SUM(Q39:U39)-('OPEB Amounts_Report'!G39-'OPEB Amounts_Report'!M39)</f>
        <v>0</v>
      </c>
    </row>
    <row r="40" spans="1:24" s="8" customFormat="1">
      <c r="A40" s="235">
        <v>3005</v>
      </c>
      <c r="B40" s="236" t="s">
        <v>30</v>
      </c>
      <c r="C40" s="245">
        <f t="shared" si="0"/>
        <v>-4505337</v>
      </c>
      <c r="D40" s="245">
        <f t="shared" si="1"/>
        <v>-3085223</v>
      </c>
      <c r="E40" s="245">
        <f t="shared" si="2"/>
        <v>-2057332</v>
      </c>
      <c r="F40" s="245">
        <f t="shared" si="3"/>
        <v>-896380</v>
      </c>
      <c r="G40" s="245">
        <f t="shared" si="4"/>
        <v>-1273326</v>
      </c>
      <c r="I40" s="51"/>
      <c r="K40" s="156">
        <f>ROUND(VLOOKUP($A40,'Contribution Allocation_Report'!$A$9:$D$310,4,FALSE)*$K$323,0)</f>
        <v>-3882463</v>
      </c>
      <c r="L40" s="156">
        <f>ROUND(VLOOKUP($A40,'Contribution Allocation_Report'!$A$9:$D$310,4,FALSE)*$L$323,0)</f>
        <v>-2443258</v>
      </c>
      <c r="M40" s="156">
        <f>ROUND(VLOOKUP($A40,'Contribution Allocation_Report'!$A$9:$D$310,4,FALSE)*$M$323,0)</f>
        <v>-1388214</v>
      </c>
      <c r="N40" s="156">
        <f>ROUND(VLOOKUP($A40,'Contribution Allocation_Report'!$A$9:$D$310,4,FALSE)*$N$323,0)</f>
        <v>-276043</v>
      </c>
      <c r="O40" s="246">
        <f>ROUND(VLOOKUP($A40,'Contribution Allocation_Report'!$A$9:$D$310,4,FALSE)*$O$323,0)</f>
        <v>-1135303</v>
      </c>
      <c r="Q40" s="246">
        <f>+K40+VLOOKUP(A40,'Change in Proportion Layers'!$A$8:$I$321,3,FALSE)+VLOOKUP(A40,'Change in Proportion Layers'!$A$8:$V$321,10,FALSE)+VLOOKUP(A40,'Change in Proportion Layers'!$A$8:$V$321,16,FALSE)+VLOOKUP(A40,'Change in Proportion Layers'!$A$8:$V$321,21,FALSE)</f>
        <v>-4505337</v>
      </c>
      <c r="R40" s="246">
        <f>+L40+VLOOKUP(A40,'Change in Proportion Layers'!$A$8:$V$321,4,FALSE)+VLOOKUP(A40,'Change in Proportion Layers'!$A$8:$V$321,11,FALSE)+VLOOKUP(A40,'Change in Proportion Layers'!$A$8:$V$321,17,FALSE)+VLOOKUP(A40,'Change in Proportion Layers'!$A$8:$V$321,22,FALSE)</f>
        <v>-3085223</v>
      </c>
      <c r="S40" s="246">
        <f>+M40+VLOOKUP(A40,'Change in Proportion Layers'!$A$8:$V$321,5,FALSE)+VLOOKUP(A40,'Change in Proportion Layers'!$A$8:$V$321,12,FALSE)+VLOOKUP(A40,'Change in Proportion Layers'!$A$8:$V$321,18,FALSE)</f>
        <v>-2057332</v>
      </c>
      <c r="T40" s="246">
        <f>+N40+VLOOKUP(A40,'Change in Proportion Layers'!$A$8:$V$321,6,FALSE)+VLOOKUP(A40,'Change in Proportion Layers'!$A$8:$V$321,13,FALSE)</f>
        <v>-896380</v>
      </c>
      <c r="U40" s="246">
        <f>+O40+VLOOKUP(A40,'Change in Proportion Layers'!$A$8:$V$321,7,FALSE)-1</f>
        <v>-1273326</v>
      </c>
      <c r="W40" s="246">
        <f>('OPEB Amounts_Report'!G40-'OPEB Amounts_Report'!M40)</f>
        <v>-11817598</v>
      </c>
      <c r="X40" s="282">
        <f>SUM(Q40:U40)-('OPEB Amounts_Report'!G40-'OPEB Amounts_Report'!M40)</f>
        <v>0</v>
      </c>
    </row>
    <row r="41" spans="1:24" s="8" customFormat="1">
      <c r="A41" s="237">
        <v>26078</v>
      </c>
      <c r="B41" s="238" t="s">
        <v>31</v>
      </c>
      <c r="C41" s="48">
        <f t="shared" si="0"/>
        <v>-135978</v>
      </c>
      <c r="D41" s="48">
        <f t="shared" si="1"/>
        <v>-85205</v>
      </c>
      <c r="E41" s="48">
        <f t="shared" si="2"/>
        <v>-50601</v>
      </c>
      <c r="F41" s="48">
        <f t="shared" si="3"/>
        <v>-4905</v>
      </c>
      <c r="G41" s="48">
        <f t="shared" si="4"/>
        <v>-52602</v>
      </c>
      <c r="I41" s="51"/>
      <c r="K41" s="156">
        <f>ROUND(VLOOKUP($A41,'Contribution Allocation_Report'!$A$9:$D$310,4,FALSE)*$K$323,0)</f>
        <v>-144613</v>
      </c>
      <c r="L41" s="156">
        <f>ROUND(VLOOKUP($A41,'Contribution Allocation_Report'!$A$9:$D$310,4,FALSE)*$L$323,0)</f>
        <v>-91006</v>
      </c>
      <c r="M41" s="156">
        <f>ROUND(VLOOKUP($A41,'Contribution Allocation_Report'!$A$9:$D$310,4,FALSE)*$M$323,0)</f>
        <v>-51708</v>
      </c>
      <c r="N41" s="156">
        <f>ROUND(VLOOKUP($A41,'Contribution Allocation_Report'!$A$9:$D$310,4,FALSE)*$N$323,0)</f>
        <v>-10282</v>
      </c>
      <c r="O41" s="246">
        <f>ROUND(VLOOKUP($A41,'Contribution Allocation_Report'!$A$9:$D$310,4,FALSE)*$O$323,0)</f>
        <v>-42287</v>
      </c>
      <c r="Q41" s="246">
        <f>+K41+VLOOKUP(A41,'Change in Proportion Layers'!$A$8:$I$321,3,FALSE)+VLOOKUP(A41,'Change in Proportion Layers'!$A$8:$V$321,10,FALSE)+VLOOKUP(A41,'Change in Proportion Layers'!$A$8:$V$321,16,FALSE)+VLOOKUP(A41,'Change in Proportion Layers'!$A$8:$V$321,21,FALSE)</f>
        <v>-135978</v>
      </c>
      <c r="R41" s="246">
        <f>+L41+VLOOKUP(A41,'Change in Proportion Layers'!$A$8:$V$321,4,FALSE)+VLOOKUP(A41,'Change in Proportion Layers'!$A$8:$V$321,11,FALSE)+VLOOKUP(A41,'Change in Proportion Layers'!$A$8:$V$321,17,FALSE)+VLOOKUP(A41,'Change in Proportion Layers'!$A$8:$V$321,22,FALSE)</f>
        <v>-85205</v>
      </c>
      <c r="S41" s="246">
        <f>+M41+VLOOKUP(A41,'Change in Proportion Layers'!$A$8:$V$321,5,FALSE)+VLOOKUP(A41,'Change in Proportion Layers'!$A$8:$V$321,12,FALSE)+VLOOKUP(A41,'Change in Proportion Layers'!$A$8:$V$321,18,FALSE)</f>
        <v>-50601</v>
      </c>
      <c r="T41" s="246">
        <f>+N41+VLOOKUP(A41,'Change in Proportion Layers'!$A$8:$V$321,6,FALSE)+VLOOKUP(A41,'Change in Proportion Layers'!$A$8:$V$321,13,FALSE)</f>
        <v>-4905</v>
      </c>
      <c r="U41" s="246">
        <f>+O41+VLOOKUP(A41,'Change in Proportion Layers'!$A$8:$V$321,7,FALSE)+1</f>
        <v>-52602</v>
      </c>
      <c r="W41" s="246">
        <f>('OPEB Amounts_Report'!G41-'OPEB Amounts_Report'!M41)</f>
        <v>-329291</v>
      </c>
      <c r="X41" s="282">
        <f>SUM(Q41:U41)-('OPEB Amounts_Report'!G41-'OPEB Amounts_Report'!M41)</f>
        <v>0</v>
      </c>
    </row>
    <row r="42" spans="1:24" s="8" customFormat="1">
      <c r="A42" s="235">
        <v>16053</v>
      </c>
      <c r="B42" s="236" t="s">
        <v>32</v>
      </c>
      <c r="C42" s="245">
        <f t="shared" si="0"/>
        <v>-4422423</v>
      </c>
      <c r="D42" s="245">
        <f t="shared" si="1"/>
        <v>-2741090</v>
      </c>
      <c r="E42" s="245">
        <f t="shared" si="2"/>
        <v>-1383918</v>
      </c>
      <c r="F42" s="245">
        <f t="shared" si="3"/>
        <v>-159200</v>
      </c>
      <c r="G42" s="245">
        <f t="shared" si="4"/>
        <v>-947368</v>
      </c>
      <c r="I42" s="51"/>
      <c r="K42" s="156">
        <f>ROUND(VLOOKUP($A42,'Contribution Allocation_Report'!$A$9:$D$310,4,FALSE)*$K$323,0)</f>
        <v>-4335521</v>
      </c>
      <c r="L42" s="156">
        <f>ROUND(VLOOKUP($A42,'Contribution Allocation_Report'!$A$9:$D$310,4,FALSE)*$L$323,0)</f>
        <v>-2728369</v>
      </c>
      <c r="M42" s="156">
        <f>ROUND(VLOOKUP($A42,'Contribution Allocation_Report'!$A$9:$D$310,4,FALSE)*$M$323,0)</f>
        <v>-1550210</v>
      </c>
      <c r="N42" s="156">
        <f>ROUND(VLOOKUP($A42,'Contribution Allocation_Report'!$A$9:$D$310,4,FALSE)*$N$323,0)</f>
        <v>-308256</v>
      </c>
      <c r="O42" s="246">
        <f>ROUND(VLOOKUP($A42,'Contribution Allocation_Report'!$A$9:$D$310,4,FALSE)*$O$323,0)</f>
        <v>-1267785</v>
      </c>
      <c r="Q42" s="246">
        <f>+K42+VLOOKUP(A42,'Change in Proportion Layers'!$A$8:$I$321,3,FALSE)+VLOOKUP(A42,'Change in Proportion Layers'!$A$8:$V$321,10,FALSE)+VLOOKUP(A42,'Change in Proportion Layers'!$A$8:$V$321,16,FALSE)+VLOOKUP(A42,'Change in Proportion Layers'!$A$8:$V$321,21,FALSE)</f>
        <v>-4422423</v>
      </c>
      <c r="R42" s="246">
        <f>+L42+VLOOKUP(A42,'Change in Proportion Layers'!$A$8:$V$321,4,FALSE)+VLOOKUP(A42,'Change in Proportion Layers'!$A$8:$V$321,11,FALSE)+VLOOKUP(A42,'Change in Proportion Layers'!$A$8:$V$321,17,FALSE)+VLOOKUP(A42,'Change in Proportion Layers'!$A$8:$V$321,22,FALSE)</f>
        <v>-2741090</v>
      </c>
      <c r="S42" s="246">
        <f>+M42+VLOOKUP(A42,'Change in Proportion Layers'!$A$8:$V$321,5,FALSE)+VLOOKUP(A42,'Change in Proportion Layers'!$A$8:$V$321,12,FALSE)+VLOOKUP(A42,'Change in Proportion Layers'!$A$8:$V$321,18,FALSE)</f>
        <v>-1383918</v>
      </c>
      <c r="T42" s="246">
        <f>+N42+VLOOKUP(A42,'Change in Proportion Layers'!$A$8:$V$321,6,FALSE)+VLOOKUP(A42,'Change in Proportion Layers'!$A$8:$V$321,13,FALSE)</f>
        <v>-159200</v>
      </c>
      <c r="U42" s="246">
        <f>+O42+VLOOKUP(A42,'Change in Proportion Layers'!$A$8:$V$321,7,FALSE)</f>
        <v>-947368</v>
      </c>
      <c r="W42" s="246">
        <f>('OPEB Amounts_Report'!G42-'OPEB Amounts_Report'!M42)</f>
        <v>-9653999</v>
      </c>
      <c r="X42" s="282">
        <f>SUM(Q42:U42)-('OPEB Amounts_Report'!G42-'OPEB Amounts_Report'!M42)</f>
        <v>0</v>
      </c>
    </row>
    <row r="43" spans="1:24" s="8" customFormat="1">
      <c r="A43" s="237">
        <v>2123</v>
      </c>
      <c r="B43" s="238" t="s">
        <v>33</v>
      </c>
      <c r="C43" s="48">
        <f t="shared" si="0"/>
        <v>-8392413</v>
      </c>
      <c r="D43" s="48">
        <f t="shared" si="1"/>
        <v>-5770030</v>
      </c>
      <c r="E43" s="48">
        <f t="shared" si="2"/>
        <v>-3595336</v>
      </c>
      <c r="F43" s="48">
        <f t="shared" si="3"/>
        <v>-70887</v>
      </c>
      <c r="G43" s="48">
        <f t="shared" si="4"/>
        <v>-2523748</v>
      </c>
      <c r="I43" s="51"/>
      <c r="K43" s="156">
        <f>ROUND(VLOOKUP($A43,'Contribution Allocation_Report'!$A$9:$D$310,4,FALSE)*$K$323,0)</f>
        <v>-7784849</v>
      </c>
      <c r="L43" s="156">
        <f>ROUND(VLOOKUP($A43,'Contribution Allocation_Report'!$A$9:$D$310,4,FALSE)*$L$323,0)</f>
        <v>-4899053</v>
      </c>
      <c r="M43" s="156">
        <f>ROUND(VLOOKUP($A43,'Contribution Allocation_Report'!$A$9:$D$310,4,FALSE)*$M$323,0)</f>
        <v>-2783552</v>
      </c>
      <c r="N43" s="156">
        <f>ROUND(VLOOKUP($A43,'Contribution Allocation_Report'!$A$9:$D$310,4,FALSE)*$N$323,0)</f>
        <v>-553503</v>
      </c>
      <c r="O43" s="246">
        <f>ROUND(VLOOKUP($A43,'Contribution Allocation_Report'!$A$9:$D$310,4,FALSE)*$O$323,0)</f>
        <v>-2276432</v>
      </c>
      <c r="Q43" s="246">
        <f>+K43+VLOOKUP(A43,'Change in Proportion Layers'!$A$8:$I$321,3,FALSE)+VLOOKUP(A43,'Change in Proportion Layers'!$A$8:$V$321,10,FALSE)+VLOOKUP(A43,'Change in Proportion Layers'!$A$8:$V$321,16,FALSE)+VLOOKUP(A43,'Change in Proportion Layers'!$A$8:$V$321,21,FALSE)</f>
        <v>-8392413</v>
      </c>
      <c r="R43" s="246">
        <f>+L43+VLOOKUP(A43,'Change in Proportion Layers'!$A$8:$V$321,4,FALSE)+VLOOKUP(A43,'Change in Proportion Layers'!$A$8:$V$321,11,FALSE)+VLOOKUP(A43,'Change in Proportion Layers'!$A$8:$V$321,17,FALSE)+VLOOKUP(A43,'Change in Proportion Layers'!$A$8:$V$321,22,FALSE)</f>
        <v>-5770030</v>
      </c>
      <c r="S43" s="246">
        <f>+M43+VLOOKUP(A43,'Change in Proportion Layers'!$A$8:$V$321,5,FALSE)+VLOOKUP(A43,'Change in Proportion Layers'!$A$8:$V$321,12,FALSE)+VLOOKUP(A43,'Change in Proportion Layers'!$A$8:$V$321,18,FALSE)</f>
        <v>-3595336</v>
      </c>
      <c r="T43" s="246">
        <f>+N43+VLOOKUP(A43,'Change in Proportion Layers'!$A$8:$V$321,6,FALSE)+VLOOKUP(A43,'Change in Proportion Layers'!$A$8:$V$321,13,FALSE)</f>
        <v>-70887</v>
      </c>
      <c r="U43" s="246">
        <f>+O43+VLOOKUP(A43,'Change in Proportion Layers'!$A$8:$V$321,7,FALSE)+1</f>
        <v>-2523748</v>
      </c>
      <c r="W43" s="246">
        <f>('OPEB Amounts_Report'!G43-'OPEB Amounts_Report'!M43)</f>
        <v>-20352414</v>
      </c>
      <c r="X43" s="282">
        <f>SUM(Q43:U43)-('OPEB Amounts_Report'!G43-'OPEB Amounts_Report'!M43)</f>
        <v>0</v>
      </c>
    </row>
    <row r="44" spans="1:24" s="8" customFormat="1">
      <c r="A44" s="235">
        <v>2150</v>
      </c>
      <c r="B44" s="236" t="s">
        <v>34</v>
      </c>
      <c r="C44" s="245">
        <f t="shared" si="0"/>
        <v>-157677</v>
      </c>
      <c r="D44" s="245">
        <f t="shared" si="1"/>
        <v>-24305</v>
      </c>
      <c r="E44" s="245">
        <f t="shared" si="2"/>
        <v>60214</v>
      </c>
      <c r="F44" s="245">
        <f t="shared" si="3"/>
        <v>164556</v>
      </c>
      <c r="G44" s="245">
        <f t="shared" si="4"/>
        <v>70404</v>
      </c>
      <c r="I44" s="51"/>
      <c r="K44" s="156">
        <f>ROUND(VLOOKUP($A44,'Contribution Allocation_Report'!$A$9:$D$310,4,FALSE)*$K$323,0)</f>
        <v>-376462</v>
      </c>
      <c r="L44" s="156">
        <f>ROUND(VLOOKUP($A44,'Contribution Allocation_Report'!$A$9:$D$310,4,FALSE)*$L$323,0)</f>
        <v>-236910</v>
      </c>
      <c r="M44" s="156">
        <f>ROUND(VLOOKUP($A44,'Contribution Allocation_Report'!$A$9:$D$310,4,FALSE)*$M$323,0)</f>
        <v>-134608</v>
      </c>
      <c r="N44" s="156">
        <f>ROUND(VLOOKUP($A44,'Contribution Allocation_Report'!$A$9:$D$310,4,FALSE)*$N$323,0)</f>
        <v>-26766</v>
      </c>
      <c r="O44" s="246">
        <f>ROUND(VLOOKUP($A44,'Contribution Allocation_Report'!$A$9:$D$310,4,FALSE)*$O$323,0)</f>
        <v>-110084</v>
      </c>
      <c r="Q44" s="246">
        <f>+K44+VLOOKUP(A44,'Change in Proportion Layers'!$A$8:$I$321,3,FALSE)+VLOOKUP(A44,'Change in Proportion Layers'!$A$8:$V$321,10,FALSE)+VLOOKUP(A44,'Change in Proportion Layers'!$A$8:$V$321,16,FALSE)+VLOOKUP(A44,'Change in Proportion Layers'!$A$8:$V$321,21,FALSE)</f>
        <v>-157677</v>
      </c>
      <c r="R44" s="246">
        <f>+L44+VLOOKUP(A44,'Change in Proportion Layers'!$A$8:$V$321,4,FALSE)+VLOOKUP(A44,'Change in Proportion Layers'!$A$8:$V$321,11,FALSE)+VLOOKUP(A44,'Change in Proportion Layers'!$A$8:$V$321,17,FALSE)+VLOOKUP(A44,'Change in Proportion Layers'!$A$8:$V$321,22,FALSE)</f>
        <v>-24305</v>
      </c>
      <c r="S44" s="246">
        <f>+M44+VLOOKUP(A44,'Change in Proportion Layers'!$A$8:$V$321,5,FALSE)+VLOOKUP(A44,'Change in Proportion Layers'!$A$8:$V$321,12,FALSE)+VLOOKUP(A44,'Change in Proportion Layers'!$A$8:$V$321,18,FALSE)</f>
        <v>60214</v>
      </c>
      <c r="T44" s="246">
        <f>+N44+VLOOKUP(A44,'Change in Proportion Layers'!$A$8:$V$321,6,FALSE)+VLOOKUP(A44,'Change in Proportion Layers'!$A$8:$V$321,13,FALSE)</f>
        <v>164556</v>
      </c>
      <c r="U44" s="246">
        <f>+O44+VLOOKUP(A44,'Change in Proportion Layers'!$A$8:$V$321,7,FALSE)+1</f>
        <v>70404</v>
      </c>
      <c r="W44" s="246">
        <f>('OPEB Amounts_Report'!G44-'OPEB Amounts_Report'!M44)</f>
        <v>113192</v>
      </c>
      <c r="X44" s="282">
        <f>SUM(Q44:U44)-('OPEB Amounts_Report'!G44-'OPEB Amounts_Report'!M44)</f>
        <v>0</v>
      </c>
    </row>
    <row r="45" spans="1:24" s="8" customFormat="1">
      <c r="A45" s="237">
        <v>2336</v>
      </c>
      <c r="B45" s="238" t="s">
        <v>35</v>
      </c>
      <c r="C45" s="48">
        <f t="shared" si="0"/>
        <v>-88837</v>
      </c>
      <c r="D45" s="48">
        <f t="shared" si="1"/>
        <v>-47916</v>
      </c>
      <c r="E45" s="48">
        <f t="shared" si="2"/>
        <v>-27939</v>
      </c>
      <c r="F45" s="48">
        <f t="shared" si="3"/>
        <v>-13518</v>
      </c>
      <c r="G45" s="48">
        <f t="shared" si="4"/>
        <v>-45210</v>
      </c>
      <c r="I45" s="51"/>
      <c r="K45" s="156">
        <f>ROUND(VLOOKUP($A45,'Contribution Allocation_Report'!$A$9:$D$310,4,FALSE)*$K$323,0)</f>
        <v>-110909</v>
      </c>
      <c r="L45" s="156">
        <f>ROUND(VLOOKUP($A45,'Contribution Allocation_Report'!$A$9:$D$310,4,FALSE)*$L$323,0)</f>
        <v>-69796</v>
      </c>
      <c r="M45" s="156">
        <f>ROUND(VLOOKUP($A45,'Contribution Allocation_Report'!$A$9:$D$310,4,FALSE)*$M$323,0)</f>
        <v>-39657</v>
      </c>
      <c r="N45" s="156">
        <f>ROUND(VLOOKUP($A45,'Contribution Allocation_Report'!$A$9:$D$310,4,FALSE)*$N$323,0)</f>
        <v>-7886</v>
      </c>
      <c r="O45" s="246">
        <f>ROUND(VLOOKUP($A45,'Contribution Allocation_Report'!$A$9:$D$310,4,FALSE)*$O$323,0)</f>
        <v>-32432</v>
      </c>
      <c r="Q45" s="246">
        <f>+K45+VLOOKUP(A45,'Change in Proportion Layers'!$A$8:$I$321,3,FALSE)+VLOOKUP(A45,'Change in Proportion Layers'!$A$8:$V$321,10,FALSE)+VLOOKUP(A45,'Change in Proportion Layers'!$A$8:$V$321,16,FALSE)+VLOOKUP(A45,'Change in Proportion Layers'!$A$8:$V$321,21,FALSE)</f>
        <v>-88837</v>
      </c>
      <c r="R45" s="246">
        <f>+L45+VLOOKUP(A45,'Change in Proportion Layers'!$A$8:$V$321,4,FALSE)+VLOOKUP(A45,'Change in Proportion Layers'!$A$8:$V$321,11,FALSE)+VLOOKUP(A45,'Change in Proportion Layers'!$A$8:$V$321,17,FALSE)+VLOOKUP(A45,'Change in Proportion Layers'!$A$8:$V$321,22,FALSE)</f>
        <v>-47916</v>
      </c>
      <c r="S45" s="246">
        <f>+M45+VLOOKUP(A45,'Change in Proportion Layers'!$A$8:$V$321,5,FALSE)+VLOOKUP(A45,'Change in Proportion Layers'!$A$8:$V$321,12,FALSE)+VLOOKUP(A45,'Change in Proportion Layers'!$A$8:$V$321,18,FALSE)</f>
        <v>-27939</v>
      </c>
      <c r="T45" s="246">
        <f>+N45+VLOOKUP(A45,'Change in Proportion Layers'!$A$8:$V$321,6,FALSE)+VLOOKUP(A45,'Change in Proportion Layers'!$A$8:$V$321,13,FALSE)</f>
        <v>-13518</v>
      </c>
      <c r="U45" s="246">
        <f>+O45+VLOOKUP(A45,'Change in Proportion Layers'!$A$8:$V$321,7,FALSE)+2</f>
        <v>-45210</v>
      </c>
      <c r="W45" s="246">
        <f>('OPEB Amounts_Report'!G45-'OPEB Amounts_Report'!M45)</f>
        <v>-223420</v>
      </c>
      <c r="X45" s="282">
        <f>SUM(Q45:U45)-('OPEB Amounts_Report'!G45-'OPEB Amounts_Report'!M45)</f>
        <v>0</v>
      </c>
    </row>
    <row r="46" spans="1:24" s="8" customFormat="1">
      <c r="A46" s="235">
        <v>17126</v>
      </c>
      <c r="B46" s="236" t="s">
        <v>36</v>
      </c>
      <c r="C46" s="245">
        <f t="shared" si="0"/>
        <v>-378856</v>
      </c>
      <c r="D46" s="245">
        <f t="shared" si="1"/>
        <v>-252520</v>
      </c>
      <c r="E46" s="245">
        <f t="shared" si="2"/>
        <v>-135571</v>
      </c>
      <c r="F46" s="245">
        <f t="shared" si="3"/>
        <v>-29339</v>
      </c>
      <c r="G46" s="245">
        <f t="shared" si="4"/>
        <v>-120442</v>
      </c>
      <c r="I46" s="51"/>
      <c r="K46" s="156">
        <f>ROUND(VLOOKUP($A46,'Contribution Allocation_Report'!$A$9:$D$310,4,FALSE)*$K$323,0)</f>
        <v>-317960</v>
      </c>
      <c r="L46" s="156">
        <f>ROUND(VLOOKUP($A46,'Contribution Allocation_Report'!$A$9:$D$310,4,FALSE)*$L$323,0)</f>
        <v>-200094</v>
      </c>
      <c r="M46" s="156">
        <f>ROUND(VLOOKUP($A46,'Contribution Allocation_Report'!$A$9:$D$310,4,FALSE)*$M$323,0)</f>
        <v>-113690</v>
      </c>
      <c r="N46" s="156">
        <f>ROUND(VLOOKUP($A46,'Contribution Allocation_Report'!$A$9:$D$310,4,FALSE)*$N$323,0)</f>
        <v>-22607</v>
      </c>
      <c r="O46" s="246">
        <f>ROUND(VLOOKUP($A46,'Contribution Allocation_Report'!$A$9:$D$310,4,FALSE)*$O$323,0)</f>
        <v>-92977</v>
      </c>
      <c r="Q46" s="246">
        <f>+K46+VLOOKUP(A46,'Change in Proportion Layers'!$A$8:$I$321,3,FALSE)+VLOOKUP(A46,'Change in Proportion Layers'!$A$8:$V$321,10,FALSE)+VLOOKUP(A46,'Change in Proportion Layers'!$A$8:$V$321,16,FALSE)+VLOOKUP(A46,'Change in Proportion Layers'!$A$8:$V$321,21,FALSE)</f>
        <v>-378856</v>
      </c>
      <c r="R46" s="246">
        <f>+L46+VLOOKUP(A46,'Change in Proportion Layers'!$A$8:$V$321,4,FALSE)+VLOOKUP(A46,'Change in Proportion Layers'!$A$8:$V$321,11,FALSE)+VLOOKUP(A46,'Change in Proportion Layers'!$A$8:$V$321,17,FALSE)+VLOOKUP(A46,'Change in Proportion Layers'!$A$8:$V$321,22,FALSE)</f>
        <v>-252520</v>
      </c>
      <c r="S46" s="246">
        <f>+M46+VLOOKUP(A46,'Change in Proportion Layers'!$A$8:$V$321,5,FALSE)+VLOOKUP(A46,'Change in Proportion Layers'!$A$8:$V$321,12,FALSE)+VLOOKUP(A46,'Change in Proportion Layers'!$A$8:$V$321,18,FALSE)</f>
        <v>-135571</v>
      </c>
      <c r="T46" s="246">
        <f>+N46+VLOOKUP(A46,'Change in Proportion Layers'!$A$8:$V$321,6,FALSE)+VLOOKUP(A46,'Change in Proportion Layers'!$A$8:$V$321,13,FALSE)</f>
        <v>-29339</v>
      </c>
      <c r="U46" s="246">
        <f>+O46+VLOOKUP(A46,'Change in Proportion Layers'!$A$8:$V$321,7,FALSE)-1</f>
        <v>-120442</v>
      </c>
      <c r="W46" s="246">
        <f>('OPEB Amounts_Report'!G46-'OPEB Amounts_Report'!M46)</f>
        <v>-916728</v>
      </c>
      <c r="X46" s="282">
        <f>SUM(Q46:U46)-('OPEB Amounts_Report'!G46-'OPEB Amounts_Report'!M46)</f>
        <v>0</v>
      </c>
    </row>
    <row r="47" spans="1:24" s="8" customFormat="1">
      <c r="A47" s="237">
        <v>3030</v>
      </c>
      <c r="B47" s="238" t="s">
        <v>37</v>
      </c>
      <c r="C47" s="48">
        <f t="shared" si="0"/>
        <v>-1226723</v>
      </c>
      <c r="D47" s="48">
        <f t="shared" si="1"/>
        <v>-847472</v>
      </c>
      <c r="E47" s="48">
        <f t="shared" si="2"/>
        <v>-536905</v>
      </c>
      <c r="F47" s="48">
        <f t="shared" si="3"/>
        <v>-224719</v>
      </c>
      <c r="G47" s="48">
        <f t="shared" si="4"/>
        <v>-378894</v>
      </c>
      <c r="I47" s="51"/>
      <c r="K47" s="156">
        <f>ROUND(VLOOKUP($A47,'Contribution Allocation_Report'!$A$9:$D$310,4,FALSE)*$K$323,0)</f>
        <v>-996351</v>
      </c>
      <c r="L47" s="156">
        <f>ROUND(VLOOKUP($A47,'Contribution Allocation_Report'!$A$9:$D$310,4,FALSE)*$L$323,0)</f>
        <v>-627010</v>
      </c>
      <c r="M47" s="156">
        <f>ROUND(VLOOKUP($A47,'Contribution Allocation_Report'!$A$9:$D$310,4,FALSE)*$M$323,0)</f>
        <v>-356255</v>
      </c>
      <c r="N47" s="156">
        <f>ROUND(VLOOKUP($A47,'Contribution Allocation_Report'!$A$9:$D$310,4,FALSE)*$N$323,0)</f>
        <v>-70841</v>
      </c>
      <c r="O47" s="246">
        <f>ROUND(VLOOKUP($A47,'Contribution Allocation_Report'!$A$9:$D$310,4,FALSE)*$O$323,0)</f>
        <v>-291351</v>
      </c>
      <c r="Q47" s="246">
        <f>+K47+VLOOKUP(A47,'Change in Proportion Layers'!$A$8:$I$321,3,FALSE)+VLOOKUP(A47,'Change in Proportion Layers'!$A$8:$V$321,10,FALSE)+VLOOKUP(A47,'Change in Proportion Layers'!$A$8:$V$321,16,FALSE)+VLOOKUP(A47,'Change in Proportion Layers'!$A$8:$V$321,21,FALSE)</f>
        <v>-1226723</v>
      </c>
      <c r="R47" s="246">
        <f>+L47+VLOOKUP(A47,'Change in Proportion Layers'!$A$8:$V$321,4,FALSE)+VLOOKUP(A47,'Change in Proportion Layers'!$A$8:$V$321,11,FALSE)+VLOOKUP(A47,'Change in Proportion Layers'!$A$8:$V$321,17,FALSE)+VLOOKUP(A47,'Change in Proportion Layers'!$A$8:$V$321,22,FALSE)</f>
        <v>-847472</v>
      </c>
      <c r="S47" s="246">
        <f>+M47+VLOOKUP(A47,'Change in Proportion Layers'!$A$8:$V$321,5,FALSE)+VLOOKUP(A47,'Change in Proportion Layers'!$A$8:$V$321,12,FALSE)+VLOOKUP(A47,'Change in Proportion Layers'!$A$8:$V$321,18,FALSE)</f>
        <v>-536905</v>
      </c>
      <c r="T47" s="246">
        <f>+N47+VLOOKUP(A47,'Change in Proportion Layers'!$A$8:$V$321,6,FALSE)+VLOOKUP(A47,'Change in Proportion Layers'!$A$8:$V$321,13,FALSE)</f>
        <v>-224719</v>
      </c>
      <c r="U47" s="246">
        <f>+O47+VLOOKUP(A47,'Change in Proportion Layers'!$A$8:$V$321,7,FALSE)</f>
        <v>-378894</v>
      </c>
      <c r="W47" s="246">
        <f>('OPEB Amounts_Report'!G47-'OPEB Amounts_Report'!M47)</f>
        <v>-3214713</v>
      </c>
      <c r="X47" s="282">
        <f>SUM(Q47:U47)-('OPEB Amounts_Report'!G47-'OPEB Amounts_Report'!M47)</f>
        <v>0</v>
      </c>
    </row>
    <row r="48" spans="1:24" s="8" customFormat="1">
      <c r="A48" s="235">
        <v>2353</v>
      </c>
      <c r="B48" s="236" t="s">
        <v>38</v>
      </c>
      <c r="C48" s="245">
        <f t="shared" si="0"/>
        <v>-59148</v>
      </c>
      <c r="D48" s="245">
        <f t="shared" si="1"/>
        <v>-7924</v>
      </c>
      <c r="E48" s="245">
        <f t="shared" si="2"/>
        <v>-58678</v>
      </c>
      <c r="F48" s="245">
        <f t="shared" si="3"/>
        <v>-87134</v>
      </c>
      <c r="G48" s="245">
        <f t="shared" si="4"/>
        <v>-128399</v>
      </c>
      <c r="I48" s="51"/>
      <c r="K48" s="156">
        <f>ROUND(VLOOKUP($A48,'Contribution Allocation_Report'!$A$9:$D$310,4,FALSE)*$K$323,0)</f>
        <v>-197536</v>
      </c>
      <c r="L48" s="156">
        <f>ROUND(VLOOKUP($A48,'Contribution Allocation_Report'!$A$9:$D$310,4,FALSE)*$L$323,0)</f>
        <v>-124310</v>
      </c>
      <c r="M48" s="156">
        <f>ROUND(VLOOKUP($A48,'Contribution Allocation_Report'!$A$9:$D$310,4,FALSE)*$M$323,0)</f>
        <v>-70631</v>
      </c>
      <c r="N48" s="156">
        <f>ROUND(VLOOKUP($A48,'Contribution Allocation_Report'!$A$9:$D$310,4,FALSE)*$N$323,0)</f>
        <v>-14045</v>
      </c>
      <c r="O48" s="246">
        <f>ROUND(VLOOKUP($A48,'Contribution Allocation_Report'!$A$9:$D$310,4,FALSE)*$O$323,0)</f>
        <v>-57763</v>
      </c>
      <c r="Q48" s="246">
        <f>+K48+VLOOKUP(A48,'Change in Proportion Layers'!$A$8:$I$321,3,FALSE)+VLOOKUP(A48,'Change in Proportion Layers'!$A$8:$V$321,10,FALSE)+VLOOKUP(A48,'Change in Proportion Layers'!$A$8:$V$321,16,FALSE)+VLOOKUP(A48,'Change in Proportion Layers'!$A$8:$V$321,21,FALSE)</f>
        <v>-59148</v>
      </c>
      <c r="R48" s="246">
        <f>+L48+VLOOKUP(A48,'Change in Proportion Layers'!$A$8:$V$321,4,FALSE)+VLOOKUP(A48,'Change in Proportion Layers'!$A$8:$V$321,11,FALSE)+VLOOKUP(A48,'Change in Proportion Layers'!$A$8:$V$321,17,FALSE)+VLOOKUP(A48,'Change in Proportion Layers'!$A$8:$V$321,22,FALSE)</f>
        <v>-7924</v>
      </c>
      <c r="S48" s="246">
        <f>+M48+VLOOKUP(A48,'Change in Proportion Layers'!$A$8:$V$321,5,FALSE)+VLOOKUP(A48,'Change in Proportion Layers'!$A$8:$V$321,12,FALSE)+VLOOKUP(A48,'Change in Proportion Layers'!$A$8:$V$321,18,FALSE)</f>
        <v>-58678</v>
      </c>
      <c r="T48" s="246">
        <f>+N48+VLOOKUP(A48,'Change in Proportion Layers'!$A$8:$V$321,6,FALSE)+VLOOKUP(A48,'Change in Proportion Layers'!$A$8:$V$321,13,FALSE)</f>
        <v>-87134</v>
      </c>
      <c r="U48" s="246">
        <f>+O48+VLOOKUP(A48,'Change in Proportion Layers'!$A$8:$V$321,7,FALSE)+1</f>
        <v>-128399</v>
      </c>
      <c r="W48" s="246">
        <f>('OPEB Amounts_Report'!G48-'OPEB Amounts_Report'!M48)</f>
        <v>-341283</v>
      </c>
      <c r="X48" s="282">
        <f>SUM(Q48:U48)-('OPEB Amounts_Report'!G48-'OPEB Amounts_Report'!M48)</f>
        <v>0</v>
      </c>
    </row>
    <row r="49" spans="1:24" s="8" customFormat="1">
      <c r="A49" s="237">
        <v>3040</v>
      </c>
      <c r="B49" s="238" t="s">
        <v>39</v>
      </c>
      <c r="C49" s="48">
        <f t="shared" si="0"/>
        <v>-793927</v>
      </c>
      <c r="D49" s="48">
        <f t="shared" si="1"/>
        <v>-578303</v>
      </c>
      <c r="E49" s="48">
        <f t="shared" si="2"/>
        <v>-232197</v>
      </c>
      <c r="F49" s="48">
        <f t="shared" si="3"/>
        <v>-77609</v>
      </c>
      <c r="G49" s="48">
        <f t="shared" si="4"/>
        <v>-118056</v>
      </c>
      <c r="I49" s="51"/>
      <c r="K49" s="156">
        <f>ROUND(VLOOKUP($A49,'Contribution Allocation_Report'!$A$9:$D$310,4,FALSE)*$K$323,0)</f>
        <v>-349977</v>
      </c>
      <c r="L49" s="156">
        <f>ROUND(VLOOKUP($A49,'Contribution Allocation_Report'!$A$9:$D$310,4,FALSE)*$L$323,0)</f>
        <v>-220242</v>
      </c>
      <c r="M49" s="156">
        <f>ROUND(VLOOKUP($A49,'Contribution Allocation_Report'!$A$9:$D$310,4,FALSE)*$M$323,0)</f>
        <v>-125138</v>
      </c>
      <c r="N49" s="156">
        <f>ROUND(VLOOKUP($A49,'Contribution Allocation_Report'!$A$9:$D$310,4,FALSE)*$N$323,0)</f>
        <v>-24883</v>
      </c>
      <c r="O49" s="246">
        <f>ROUND(VLOOKUP($A49,'Contribution Allocation_Report'!$A$9:$D$310,4,FALSE)*$O$323,0)</f>
        <v>-102340</v>
      </c>
      <c r="Q49" s="246">
        <f>+K49+VLOOKUP(A49,'Change in Proportion Layers'!$A$8:$I$321,3,FALSE)+VLOOKUP(A49,'Change in Proportion Layers'!$A$8:$V$321,10,FALSE)+VLOOKUP(A49,'Change in Proportion Layers'!$A$8:$V$321,16,FALSE)+VLOOKUP(A49,'Change in Proportion Layers'!$A$8:$V$321,21,FALSE)</f>
        <v>-793927</v>
      </c>
      <c r="R49" s="246">
        <f>+L49+VLOOKUP(A49,'Change in Proportion Layers'!$A$8:$V$321,4,FALSE)+VLOOKUP(A49,'Change in Proportion Layers'!$A$8:$V$321,11,FALSE)+VLOOKUP(A49,'Change in Proportion Layers'!$A$8:$V$321,17,FALSE)+VLOOKUP(A49,'Change in Proportion Layers'!$A$8:$V$321,22,FALSE)</f>
        <v>-578303</v>
      </c>
      <c r="S49" s="246">
        <f>+M49+VLOOKUP(A49,'Change in Proportion Layers'!$A$8:$V$321,5,FALSE)+VLOOKUP(A49,'Change in Proportion Layers'!$A$8:$V$321,12,FALSE)+VLOOKUP(A49,'Change in Proportion Layers'!$A$8:$V$321,18,FALSE)</f>
        <v>-232197</v>
      </c>
      <c r="T49" s="246">
        <f>+N49+VLOOKUP(A49,'Change in Proportion Layers'!$A$8:$V$321,6,FALSE)+VLOOKUP(A49,'Change in Proportion Layers'!$A$8:$V$321,13,FALSE)</f>
        <v>-77609</v>
      </c>
      <c r="U49" s="246">
        <f>+O49+VLOOKUP(A49,'Change in Proportion Layers'!$A$8:$V$321,7,FALSE)-1</f>
        <v>-118056</v>
      </c>
      <c r="W49" s="246">
        <f>('OPEB Amounts_Report'!G49-'OPEB Amounts_Report'!M49)</f>
        <v>-1800092</v>
      </c>
      <c r="X49" s="282">
        <f>SUM(Q49:U49)-('OPEB Amounts_Report'!G49-'OPEB Amounts_Report'!M49)</f>
        <v>0</v>
      </c>
    </row>
    <row r="50" spans="1:24" s="8" customFormat="1">
      <c r="A50" s="235">
        <v>2367</v>
      </c>
      <c r="B50" s="236" t="s">
        <v>40</v>
      </c>
      <c r="C50" s="245">
        <f t="shared" si="0"/>
        <v>-213192</v>
      </c>
      <c r="D50" s="245">
        <f t="shared" si="1"/>
        <v>-117149</v>
      </c>
      <c r="E50" s="245">
        <f t="shared" si="2"/>
        <v>-41432</v>
      </c>
      <c r="F50" s="245">
        <f t="shared" si="3"/>
        <v>10159</v>
      </c>
      <c r="G50" s="245">
        <f t="shared" si="4"/>
        <v>-34464</v>
      </c>
      <c r="I50" s="51"/>
      <c r="K50" s="156">
        <f>ROUND(VLOOKUP($A50,'Contribution Allocation_Report'!$A$9:$D$310,4,FALSE)*$K$323,0)</f>
        <v>-237568</v>
      </c>
      <c r="L50" s="156">
        <f>ROUND(VLOOKUP($A50,'Contribution Allocation_Report'!$A$9:$D$310,4,FALSE)*$L$323,0)</f>
        <v>-149503</v>
      </c>
      <c r="M50" s="156">
        <f>ROUND(VLOOKUP($A50,'Contribution Allocation_Report'!$A$9:$D$310,4,FALSE)*$M$323,0)</f>
        <v>-84945</v>
      </c>
      <c r="N50" s="156">
        <f>ROUND(VLOOKUP($A50,'Contribution Allocation_Report'!$A$9:$D$310,4,FALSE)*$N$323,0)</f>
        <v>-16891</v>
      </c>
      <c r="O50" s="246">
        <f>ROUND(VLOOKUP($A50,'Contribution Allocation_Report'!$A$9:$D$310,4,FALSE)*$O$323,0)</f>
        <v>-69469</v>
      </c>
      <c r="Q50" s="246">
        <f>+K50+VLOOKUP(A50,'Change in Proportion Layers'!$A$8:$I$321,3,FALSE)+VLOOKUP(A50,'Change in Proportion Layers'!$A$8:$V$321,10,FALSE)+VLOOKUP(A50,'Change in Proportion Layers'!$A$8:$V$321,16,FALSE)+VLOOKUP(A50,'Change in Proportion Layers'!$A$8:$V$321,21,FALSE)</f>
        <v>-213192</v>
      </c>
      <c r="R50" s="246">
        <f>+L50+VLOOKUP(A50,'Change in Proportion Layers'!$A$8:$V$321,4,FALSE)+VLOOKUP(A50,'Change in Proportion Layers'!$A$8:$V$321,11,FALSE)+VLOOKUP(A50,'Change in Proportion Layers'!$A$8:$V$321,17,FALSE)+VLOOKUP(A50,'Change in Proportion Layers'!$A$8:$V$321,22,FALSE)</f>
        <v>-117149</v>
      </c>
      <c r="S50" s="246">
        <f>+M50+VLOOKUP(A50,'Change in Proportion Layers'!$A$8:$V$321,5,FALSE)+VLOOKUP(A50,'Change in Proportion Layers'!$A$8:$V$321,12,FALSE)+VLOOKUP(A50,'Change in Proportion Layers'!$A$8:$V$321,18,FALSE)</f>
        <v>-41432</v>
      </c>
      <c r="T50" s="246">
        <f>+N50+VLOOKUP(A50,'Change in Proportion Layers'!$A$8:$V$321,6,FALSE)+VLOOKUP(A50,'Change in Proportion Layers'!$A$8:$V$321,13,FALSE)</f>
        <v>10159</v>
      </c>
      <c r="U50" s="246">
        <f>+O50+VLOOKUP(A50,'Change in Proportion Layers'!$A$8:$V$321,7,FALSE)+1</f>
        <v>-34464</v>
      </c>
      <c r="W50" s="246">
        <f>('OPEB Amounts_Report'!G50-'OPEB Amounts_Report'!M50)</f>
        <v>-396078</v>
      </c>
      <c r="X50" s="282">
        <f>SUM(Q50:U50)-('OPEB Amounts_Report'!G50-'OPEB Amounts_Report'!M50)</f>
        <v>0</v>
      </c>
    </row>
    <row r="51" spans="1:24" s="8" customFormat="1">
      <c r="A51" s="237">
        <v>9027</v>
      </c>
      <c r="B51" s="238" t="s">
        <v>41</v>
      </c>
      <c r="C51" s="48">
        <f t="shared" si="0"/>
        <v>-241731</v>
      </c>
      <c r="D51" s="48">
        <f t="shared" si="1"/>
        <v>-131289</v>
      </c>
      <c r="E51" s="48">
        <f t="shared" si="2"/>
        <v>-88015</v>
      </c>
      <c r="F51" s="48">
        <f t="shared" si="3"/>
        <v>6680</v>
      </c>
      <c r="G51" s="48">
        <f t="shared" si="4"/>
        <v>-14087</v>
      </c>
      <c r="I51" s="51"/>
      <c r="K51" s="156">
        <f>ROUND(VLOOKUP($A51,'Contribution Allocation_Report'!$A$9:$D$310,4,FALSE)*$K$323,0)</f>
        <v>-348102</v>
      </c>
      <c r="L51" s="156">
        <f>ROUND(VLOOKUP($A51,'Contribution Allocation_Report'!$A$9:$D$310,4,FALSE)*$L$323,0)</f>
        <v>-219062</v>
      </c>
      <c r="M51" s="156">
        <f>ROUND(VLOOKUP($A51,'Contribution Allocation_Report'!$A$9:$D$310,4,FALSE)*$M$323,0)</f>
        <v>-124467</v>
      </c>
      <c r="N51" s="156">
        <f>ROUND(VLOOKUP($A51,'Contribution Allocation_Report'!$A$9:$D$310,4,FALSE)*$N$323,0)</f>
        <v>-24750</v>
      </c>
      <c r="O51" s="246">
        <f>ROUND(VLOOKUP($A51,'Contribution Allocation_Report'!$A$9:$D$310,4,FALSE)*$O$323,0)</f>
        <v>-101791</v>
      </c>
      <c r="Q51" s="246">
        <f>+K51+VLOOKUP(A51,'Change in Proportion Layers'!$A$8:$I$321,3,FALSE)+VLOOKUP(A51,'Change in Proportion Layers'!$A$8:$V$321,10,FALSE)+VLOOKUP(A51,'Change in Proportion Layers'!$A$8:$V$321,16,FALSE)+VLOOKUP(A51,'Change in Proportion Layers'!$A$8:$V$321,21,FALSE)</f>
        <v>-241731</v>
      </c>
      <c r="R51" s="246">
        <f>+L51+VLOOKUP(A51,'Change in Proportion Layers'!$A$8:$V$321,4,FALSE)+VLOOKUP(A51,'Change in Proportion Layers'!$A$8:$V$321,11,FALSE)+VLOOKUP(A51,'Change in Proportion Layers'!$A$8:$V$321,17,FALSE)+VLOOKUP(A51,'Change in Proportion Layers'!$A$8:$V$321,22,FALSE)</f>
        <v>-131289</v>
      </c>
      <c r="S51" s="246">
        <f>+M51+VLOOKUP(A51,'Change in Proportion Layers'!$A$8:$V$321,5,FALSE)+VLOOKUP(A51,'Change in Proportion Layers'!$A$8:$V$321,12,FALSE)+VLOOKUP(A51,'Change in Proportion Layers'!$A$8:$V$321,18,FALSE)</f>
        <v>-88015</v>
      </c>
      <c r="T51" s="246">
        <f>+N51+VLOOKUP(A51,'Change in Proportion Layers'!$A$8:$V$321,6,FALSE)+VLOOKUP(A51,'Change in Proportion Layers'!$A$8:$V$321,13,FALSE)</f>
        <v>6680</v>
      </c>
      <c r="U51" s="246">
        <f>+O51+VLOOKUP(A51,'Change in Proportion Layers'!$A$8:$V$321,7,FALSE)-1</f>
        <v>-14087</v>
      </c>
      <c r="W51" s="246">
        <f>('OPEB Amounts_Report'!G51-'OPEB Amounts_Report'!M51)</f>
        <v>-468442</v>
      </c>
      <c r="X51" s="282">
        <f>SUM(Q51:U51)-('OPEB Amounts_Report'!G51-'OPEB Amounts_Report'!M51)</f>
        <v>0</v>
      </c>
    </row>
    <row r="52" spans="1:24" s="8" customFormat="1">
      <c r="A52" s="235">
        <v>2010</v>
      </c>
      <c r="B52" s="236" t="s">
        <v>42</v>
      </c>
      <c r="C52" s="245">
        <f t="shared" si="0"/>
        <v>-1360648</v>
      </c>
      <c r="D52" s="245">
        <f t="shared" si="1"/>
        <v>-929764</v>
      </c>
      <c r="E52" s="245">
        <f t="shared" si="2"/>
        <v>-649845</v>
      </c>
      <c r="F52" s="245">
        <f t="shared" si="3"/>
        <v>-237673</v>
      </c>
      <c r="G52" s="245">
        <f t="shared" si="4"/>
        <v>-314486</v>
      </c>
      <c r="I52" s="51"/>
      <c r="K52" s="156">
        <f>ROUND(VLOOKUP($A52,'Contribution Allocation_Report'!$A$9:$D$310,4,FALSE)*$K$323,0)</f>
        <v>-1255154</v>
      </c>
      <c r="L52" s="156">
        <f>ROUND(VLOOKUP($A52,'Contribution Allocation_Report'!$A$9:$D$310,4,FALSE)*$L$323,0)</f>
        <v>-789876</v>
      </c>
      <c r="M52" s="156">
        <f>ROUND(VLOOKUP($A52,'Contribution Allocation_Report'!$A$9:$D$310,4,FALSE)*$M$323,0)</f>
        <v>-448793</v>
      </c>
      <c r="N52" s="156">
        <f>ROUND(VLOOKUP($A52,'Contribution Allocation_Report'!$A$9:$D$310,4,FALSE)*$N$323,0)</f>
        <v>-89241</v>
      </c>
      <c r="O52" s="246">
        <f>ROUND(VLOOKUP($A52,'Contribution Allocation_Report'!$A$9:$D$310,4,FALSE)*$O$323,0)</f>
        <v>-367030</v>
      </c>
      <c r="Q52" s="246">
        <f>+K52+VLOOKUP(A52,'Change in Proportion Layers'!$A$8:$I$321,3,FALSE)+VLOOKUP(A52,'Change in Proportion Layers'!$A$8:$V$321,10,FALSE)+VLOOKUP(A52,'Change in Proportion Layers'!$A$8:$V$321,16,FALSE)+VLOOKUP(A52,'Change in Proportion Layers'!$A$8:$V$321,21,FALSE)</f>
        <v>-1360648</v>
      </c>
      <c r="R52" s="246">
        <f>+L52+VLOOKUP(A52,'Change in Proportion Layers'!$A$8:$V$321,4,FALSE)+VLOOKUP(A52,'Change in Proportion Layers'!$A$8:$V$321,11,FALSE)+VLOOKUP(A52,'Change in Proportion Layers'!$A$8:$V$321,17,FALSE)+VLOOKUP(A52,'Change in Proportion Layers'!$A$8:$V$321,22,FALSE)</f>
        <v>-929764</v>
      </c>
      <c r="S52" s="246">
        <f>+M52+VLOOKUP(A52,'Change in Proportion Layers'!$A$8:$V$321,5,FALSE)+VLOOKUP(A52,'Change in Proportion Layers'!$A$8:$V$321,12,FALSE)+VLOOKUP(A52,'Change in Proportion Layers'!$A$8:$V$321,18,FALSE)</f>
        <v>-649845</v>
      </c>
      <c r="T52" s="246">
        <f>+N52+VLOOKUP(A52,'Change in Proportion Layers'!$A$8:$V$321,6,FALSE)+VLOOKUP(A52,'Change in Proportion Layers'!$A$8:$V$321,13,FALSE)</f>
        <v>-237673</v>
      </c>
      <c r="U52" s="246">
        <f>+O52+VLOOKUP(A52,'Change in Proportion Layers'!$A$8:$V$321,7,FALSE)+1</f>
        <v>-314486</v>
      </c>
      <c r="W52" s="246">
        <f>('OPEB Amounts_Report'!G52-'OPEB Amounts_Report'!M52)</f>
        <v>-3492416</v>
      </c>
      <c r="X52" s="282">
        <f>SUM(Q52:U52)-('OPEB Amounts_Report'!G52-'OPEB Amounts_Report'!M52)</f>
        <v>0</v>
      </c>
    </row>
    <row r="53" spans="1:24" s="8" customFormat="1">
      <c r="A53" s="237">
        <v>2020</v>
      </c>
      <c r="B53" s="238" t="s">
        <v>43</v>
      </c>
      <c r="C53" s="48">
        <f t="shared" si="0"/>
        <v>-34310315</v>
      </c>
      <c r="D53" s="48">
        <f t="shared" si="1"/>
        <v>-22003846</v>
      </c>
      <c r="E53" s="48">
        <f t="shared" si="2"/>
        <v>-12502369</v>
      </c>
      <c r="F53" s="48">
        <f t="shared" si="3"/>
        <v>-3216488</v>
      </c>
      <c r="G53" s="48">
        <f t="shared" si="4"/>
        <v>-9032556</v>
      </c>
      <c r="I53" s="51"/>
      <c r="K53" s="156">
        <f>ROUND(VLOOKUP($A53,'Contribution Allocation_Report'!$A$9:$D$310,4,FALSE)*$K$323,0)</f>
        <v>-32460458</v>
      </c>
      <c r="L53" s="156">
        <f>ROUND(VLOOKUP($A53,'Contribution Allocation_Report'!$A$9:$D$310,4,FALSE)*$L$323,0)</f>
        <v>-20427562</v>
      </c>
      <c r="M53" s="156">
        <f>ROUND(VLOOKUP($A53,'Contribution Allocation_Report'!$A$9:$D$310,4,FALSE)*$M$323,0)</f>
        <v>-11606567</v>
      </c>
      <c r="N53" s="156">
        <f>ROUND(VLOOKUP($A53,'Contribution Allocation_Report'!$A$9:$D$310,4,FALSE)*$N$323,0)</f>
        <v>-2307941</v>
      </c>
      <c r="O53" s="246">
        <f>ROUND(VLOOKUP($A53,'Contribution Allocation_Report'!$A$9:$D$310,4,FALSE)*$O$323,0)</f>
        <v>-9492028</v>
      </c>
      <c r="Q53" s="246">
        <f>+K53+VLOOKUP(A53,'Change in Proportion Layers'!$A$8:$I$321,3,FALSE)+VLOOKUP(A53,'Change in Proportion Layers'!$A$8:$V$321,10,FALSE)+VLOOKUP(A53,'Change in Proportion Layers'!$A$8:$V$321,16,FALSE)+VLOOKUP(A53,'Change in Proportion Layers'!$A$8:$V$321,21,FALSE)</f>
        <v>-34310315</v>
      </c>
      <c r="R53" s="246">
        <f>+L53+VLOOKUP(A53,'Change in Proportion Layers'!$A$8:$V$321,4,FALSE)+VLOOKUP(A53,'Change in Proportion Layers'!$A$8:$V$321,11,FALSE)+VLOOKUP(A53,'Change in Proportion Layers'!$A$8:$V$321,17,FALSE)+VLOOKUP(A53,'Change in Proportion Layers'!$A$8:$V$321,22,FALSE)</f>
        <v>-22003846</v>
      </c>
      <c r="S53" s="246">
        <f>+M53+VLOOKUP(A53,'Change in Proportion Layers'!$A$8:$V$321,5,FALSE)+VLOOKUP(A53,'Change in Proportion Layers'!$A$8:$V$321,12,FALSE)+VLOOKUP(A53,'Change in Proportion Layers'!$A$8:$V$321,18,FALSE)</f>
        <v>-12502369</v>
      </c>
      <c r="T53" s="246">
        <f>+N53+VLOOKUP(A53,'Change in Proportion Layers'!$A$8:$V$321,6,FALSE)+VLOOKUP(A53,'Change in Proportion Layers'!$A$8:$V$321,13,FALSE)</f>
        <v>-3216488</v>
      </c>
      <c r="U53" s="246">
        <f>+O53+VLOOKUP(A53,'Change in Proportion Layers'!$A$8:$V$321,7,FALSE)+1</f>
        <v>-9032556</v>
      </c>
      <c r="W53" s="246">
        <f>('OPEB Amounts_Report'!G53-'OPEB Amounts_Report'!M53)</f>
        <v>-81065574</v>
      </c>
      <c r="X53" s="282">
        <f>SUM(Q53:U53)-('OPEB Amounts_Report'!G53-'OPEB Amounts_Report'!M53)</f>
        <v>0</v>
      </c>
    </row>
    <row r="54" spans="1:24" s="8" customFormat="1">
      <c r="A54" s="235">
        <v>2040</v>
      </c>
      <c r="B54" s="236" t="s">
        <v>44</v>
      </c>
      <c r="C54" s="245">
        <f t="shared" si="0"/>
        <v>-471355</v>
      </c>
      <c r="D54" s="245">
        <f t="shared" si="1"/>
        <v>-312487</v>
      </c>
      <c r="E54" s="245">
        <f t="shared" si="2"/>
        <v>-193668</v>
      </c>
      <c r="F54" s="245">
        <f t="shared" si="3"/>
        <v>-86140</v>
      </c>
      <c r="G54" s="245">
        <f t="shared" si="4"/>
        <v>-127437</v>
      </c>
      <c r="I54" s="51"/>
      <c r="K54" s="156">
        <f>ROUND(VLOOKUP($A54,'Contribution Allocation_Report'!$A$9:$D$310,4,FALSE)*$K$323,0)</f>
        <v>-414900</v>
      </c>
      <c r="L54" s="156">
        <f>ROUND(VLOOKUP($A54,'Contribution Allocation_Report'!$A$9:$D$310,4,FALSE)*$L$323,0)</f>
        <v>-261099</v>
      </c>
      <c r="M54" s="156">
        <f>ROUND(VLOOKUP($A54,'Contribution Allocation_Report'!$A$9:$D$310,4,FALSE)*$M$323,0)</f>
        <v>-148352</v>
      </c>
      <c r="N54" s="156">
        <f>ROUND(VLOOKUP($A54,'Contribution Allocation_Report'!$A$9:$D$310,4,FALSE)*$N$323,0)</f>
        <v>-29499</v>
      </c>
      <c r="O54" s="246">
        <f>ROUND(VLOOKUP($A54,'Contribution Allocation_Report'!$A$9:$D$310,4,FALSE)*$O$323,0)</f>
        <v>-121324</v>
      </c>
      <c r="Q54" s="246">
        <f>+K54+VLOOKUP(A54,'Change in Proportion Layers'!$A$8:$I$321,3,FALSE)+VLOOKUP(A54,'Change in Proportion Layers'!$A$8:$V$321,10,FALSE)+VLOOKUP(A54,'Change in Proportion Layers'!$A$8:$V$321,16,FALSE)+VLOOKUP(A54,'Change in Proportion Layers'!$A$8:$V$321,21,FALSE)</f>
        <v>-471355</v>
      </c>
      <c r="R54" s="246">
        <f>+L54+VLOOKUP(A54,'Change in Proportion Layers'!$A$8:$V$321,4,FALSE)+VLOOKUP(A54,'Change in Proportion Layers'!$A$8:$V$321,11,FALSE)+VLOOKUP(A54,'Change in Proportion Layers'!$A$8:$V$321,17,FALSE)+VLOOKUP(A54,'Change in Proportion Layers'!$A$8:$V$321,22,FALSE)</f>
        <v>-312487</v>
      </c>
      <c r="S54" s="246">
        <f>+M54+VLOOKUP(A54,'Change in Proportion Layers'!$A$8:$V$321,5,FALSE)+VLOOKUP(A54,'Change in Proportion Layers'!$A$8:$V$321,12,FALSE)+VLOOKUP(A54,'Change in Proportion Layers'!$A$8:$V$321,18,FALSE)</f>
        <v>-193668</v>
      </c>
      <c r="T54" s="246">
        <f>+N54+VLOOKUP(A54,'Change in Proportion Layers'!$A$8:$V$321,6,FALSE)+VLOOKUP(A54,'Change in Proportion Layers'!$A$8:$V$321,13,FALSE)</f>
        <v>-86140</v>
      </c>
      <c r="U54" s="246">
        <f>+O54+VLOOKUP(A54,'Change in Proportion Layers'!$A$8:$V$321,7,FALSE)-1</f>
        <v>-127437</v>
      </c>
      <c r="W54" s="246">
        <f>('OPEB Amounts_Report'!G54-'OPEB Amounts_Report'!M54)</f>
        <v>-1191087</v>
      </c>
      <c r="X54" s="282">
        <f>SUM(Q54:U54)-('OPEB Amounts_Report'!G54-'OPEB Amounts_Report'!M54)</f>
        <v>0</v>
      </c>
    </row>
    <row r="55" spans="1:24" s="8" customFormat="1">
      <c r="A55" s="237">
        <v>2060</v>
      </c>
      <c r="B55" s="238" t="s">
        <v>45</v>
      </c>
      <c r="C55" s="48">
        <f t="shared" si="0"/>
        <v>-372456</v>
      </c>
      <c r="D55" s="48">
        <f t="shared" si="1"/>
        <v>-206033</v>
      </c>
      <c r="E55" s="48">
        <f t="shared" si="2"/>
        <v>-80271</v>
      </c>
      <c r="F55" s="48">
        <f t="shared" si="3"/>
        <v>43518</v>
      </c>
      <c r="G55" s="48">
        <f t="shared" si="4"/>
        <v>10286</v>
      </c>
      <c r="I55" s="51"/>
      <c r="K55" s="156">
        <f>ROUND(VLOOKUP($A55,'Contribution Allocation_Report'!$A$9:$D$310,4,FALSE)*$K$323,0)</f>
        <v>-440354</v>
      </c>
      <c r="L55" s="156">
        <f>ROUND(VLOOKUP($A55,'Contribution Allocation_Report'!$A$9:$D$310,4,FALSE)*$L$323,0)</f>
        <v>-277117</v>
      </c>
      <c r="M55" s="156">
        <f>ROUND(VLOOKUP($A55,'Contribution Allocation_Report'!$A$9:$D$310,4,FALSE)*$M$323,0)</f>
        <v>-157453</v>
      </c>
      <c r="N55" s="156">
        <f>ROUND(VLOOKUP($A55,'Contribution Allocation_Report'!$A$9:$D$310,4,FALSE)*$N$323,0)</f>
        <v>-31309</v>
      </c>
      <c r="O55" s="246">
        <f>ROUND(VLOOKUP($A55,'Contribution Allocation_Report'!$A$9:$D$310,4,FALSE)*$O$323,0)</f>
        <v>-128767</v>
      </c>
      <c r="Q55" s="246">
        <f>+K55+VLOOKUP(A55,'Change in Proportion Layers'!$A$8:$I$321,3,FALSE)+VLOOKUP(A55,'Change in Proportion Layers'!$A$8:$V$321,10,FALSE)+VLOOKUP(A55,'Change in Proportion Layers'!$A$8:$V$321,16,FALSE)+VLOOKUP(A55,'Change in Proportion Layers'!$A$8:$V$321,21,FALSE)</f>
        <v>-372456</v>
      </c>
      <c r="R55" s="246">
        <f>+L55+VLOOKUP(A55,'Change in Proportion Layers'!$A$8:$V$321,4,FALSE)+VLOOKUP(A55,'Change in Proportion Layers'!$A$8:$V$321,11,FALSE)+VLOOKUP(A55,'Change in Proportion Layers'!$A$8:$V$321,17,FALSE)+VLOOKUP(A55,'Change in Proportion Layers'!$A$8:$V$321,22,FALSE)</f>
        <v>-206033</v>
      </c>
      <c r="S55" s="246">
        <f>+M55+VLOOKUP(A55,'Change in Proportion Layers'!$A$8:$V$321,5,FALSE)+VLOOKUP(A55,'Change in Proportion Layers'!$A$8:$V$321,12,FALSE)+VLOOKUP(A55,'Change in Proportion Layers'!$A$8:$V$321,18,FALSE)</f>
        <v>-80271</v>
      </c>
      <c r="T55" s="246">
        <f>+N55+VLOOKUP(A55,'Change in Proportion Layers'!$A$8:$V$321,6,FALSE)+VLOOKUP(A55,'Change in Proportion Layers'!$A$8:$V$321,13,FALSE)</f>
        <v>43518</v>
      </c>
      <c r="U55" s="246">
        <f>+O55+VLOOKUP(A55,'Change in Proportion Layers'!$A$8:$V$321,7,FALSE)-1</f>
        <v>10286</v>
      </c>
      <c r="W55" s="246">
        <f>('OPEB Amounts_Report'!G55-'OPEB Amounts_Report'!M55)</f>
        <v>-604956</v>
      </c>
      <c r="X55" s="282">
        <f>SUM(Q55:U55)-('OPEB Amounts_Report'!G55-'OPEB Amounts_Report'!M55)</f>
        <v>0</v>
      </c>
    </row>
    <row r="56" spans="1:24" s="8" customFormat="1">
      <c r="A56" s="235">
        <v>2090</v>
      </c>
      <c r="B56" s="236" t="s">
        <v>46</v>
      </c>
      <c r="C56" s="245">
        <f t="shared" si="0"/>
        <v>-722784</v>
      </c>
      <c r="D56" s="245">
        <f t="shared" si="1"/>
        <v>-527928</v>
      </c>
      <c r="E56" s="245">
        <f t="shared" si="2"/>
        <v>-226530</v>
      </c>
      <c r="F56" s="245">
        <f t="shared" si="3"/>
        <v>-71875</v>
      </c>
      <c r="G56" s="245">
        <f t="shared" si="4"/>
        <v>-137943</v>
      </c>
      <c r="I56" s="51"/>
      <c r="K56" s="156">
        <f>ROUND(VLOOKUP($A56,'Contribution Allocation_Report'!$A$9:$D$310,4,FALSE)*$K$323,0)</f>
        <v>-340086</v>
      </c>
      <c r="L56" s="156">
        <f>ROUND(VLOOKUP($A56,'Contribution Allocation_Report'!$A$9:$D$310,4,FALSE)*$L$323,0)</f>
        <v>-214018</v>
      </c>
      <c r="M56" s="156">
        <f>ROUND(VLOOKUP($A56,'Contribution Allocation_Report'!$A$9:$D$310,4,FALSE)*$M$323,0)</f>
        <v>-121601</v>
      </c>
      <c r="N56" s="156">
        <f>ROUND(VLOOKUP($A56,'Contribution Allocation_Report'!$A$9:$D$310,4,FALSE)*$N$323,0)</f>
        <v>-24180</v>
      </c>
      <c r="O56" s="246">
        <f>ROUND(VLOOKUP($A56,'Contribution Allocation_Report'!$A$9:$D$310,4,FALSE)*$O$323,0)</f>
        <v>-99447</v>
      </c>
      <c r="Q56" s="246">
        <f>+K56+VLOOKUP(A56,'Change in Proportion Layers'!$A$8:$I$321,3,FALSE)+VLOOKUP(A56,'Change in Proportion Layers'!$A$8:$V$321,10,FALSE)+VLOOKUP(A56,'Change in Proportion Layers'!$A$8:$V$321,16,FALSE)+VLOOKUP(A56,'Change in Proportion Layers'!$A$8:$V$321,21,FALSE)</f>
        <v>-722784</v>
      </c>
      <c r="R56" s="246">
        <f>+L56+VLOOKUP(A56,'Change in Proportion Layers'!$A$8:$V$321,4,FALSE)+VLOOKUP(A56,'Change in Proportion Layers'!$A$8:$V$321,11,FALSE)+VLOOKUP(A56,'Change in Proportion Layers'!$A$8:$V$321,17,FALSE)+VLOOKUP(A56,'Change in Proportion Layers'!$A$8:$V$321,22,FALSE)</f>
        <v>-527928</v>
      </c>
      <c r="S56" s="246">
        <f>+M56+VLOOKUP(A56,'Change in Proportion Layers'!$A$8:$V$321,5,FALSE)+VLOOKUP(A56,'Change in Proportion Layers'!$A$8:$V$321,12,FALSE)+VLOOKUP(A56,'Change in Proportion Layers'!$A$8:$V$321,18,FALSE)</f>
        <v>-226530</v>
      </c>
      <c r="T56" s="246">
        <f>+N56+VLOOKUP(A56,'Change in Proportion Layers'!$A$8:$V$321,6,FALSE)+VLOOKUP(A56,'Change in Proportion Layers'!$A$8:$V$321,13,FALSE)</f>
        <v>-71875</v>
      </c>
      <c r="U56" s="246">
        <f>+O56+VLOOKUP(A56,'Change in Proportion Layers'!$A$8:$V$321,7,FALSE)-2</f>
        <v>-137943</v>
      </c>
      <c r="W56" s="246">
        <f>('OPEB Amounts_Report'!G56-'OPEB Amounts_Report'!M56)</f>
        <v>-1687060</v>
      </c>
      <c r="X56" s="282">
        <f>SUM(Q56:U56)-('OPEB Amounts_Report'!G56-'OPEB Amounts_Report'!M56)</f>
        <v>0</v>
      </c>
    </row>
    <row r="57" spans="1:24" s="8" customFormat="1">
      <c r="A57" s="237">
        <v>2110</v>
      </c>
      <c r="B57" s="238" t="s">
        <v>47</v>
      </c>
      <c r="C57" s="48">
        <f t="shared" si="0"/>
        <v>-2910401</v>
      </c>
      <c r="D57" s="48">
        <f t="shared" si="1"/>
        <v>-1857659</v>
      </c>
      <c r="E57" s="48">
        <f t="shared" si="2"/>
        <v>-1169538</v>
      </c>
      <c r="F57" s="48">
        <f t="shared" si="3"/>
        <v>-416179</v>
      </c>
      <c r="G57" s="48">
        <f t="shared" si="4"/>
        <v>-936850</v>
      </c>
      <c r="I57" s="51"/>
      <c r="K57" s="156">
        <f>ROUND(VLOOKUP($A57,'Contribution Allocation_Report'!$A$9:$D$310,4,FALSE)*$K$323,0)</f>
        <v>-2897363</v>
      </c>
      <c r="L57" s="156">
        <f>ROUND(VLOOKUP($A57,'Contribution Allocation_Report'!$A$9:$D$310,4,FALSE)*$L$323,0)</f>
        <v>-1823328</v>
      </c>
      <c r="M57" s="156">
        <f>ROUND(VLOOKUP($A57,'Contribution Allocation_Report'!$A$9:$D$310,4,FALSE)*$M$323,0)</f>
        <v>-1035982</v>
      </c>
      <c r="N57" s="156">
        <f>ROUND(VLOOKUP($A57,'Contribution Allocation_Report'!$A$9:$D$310,4,FALSE)*$N$323,0)</f>
        <v>-206003</v>
      </c>
      <c r="O57" s="246">
        <f>ROUND(VLOOKUP($A57,'Contribution Allocation_Report'!$A$9:$D$310,4,FALSE)*$O$323,0)</f>
        <v>-847242</v>
      </c>
      <c r="Q57" s="246">
        <f>+K57+VLOOKUP(A57,'Change in Proportion Layers'!$A$8:$I$321,3,FALSE)+VLOOKUP(A57,'Change in Proportion Layers'!$A$8:$V$321,10,FALSE)+VLOOKUP(A57,'Change in Proportion Layers'!$A$8:$V$321,16,FALSE)+VLOOKUP(A57,'Change in Proportion Layers'!$A$8:$V$321,21,FALSE)</f>
        <v>-2910401</v>
      </c>
      <c r="R57" s="246">
        <f>+L57+VLOOKUP(A57,'Change in Proportion Layers'!$A$8:$V$321,4,FALSE)+VLOOKUP(A57,'Change in Proportion Layers'!$A$8:$V$321,11,FALSE)+VLOOKUP(A57,'Change in Proportion Layers'!$A$8:$V$321,17,FALSE)+VLOOKUP(A57,'Change in Proportion Layers'!$A$8:$V$321,22,FALSE)</f>
        <v>-1857659</v>
      </c>
      <c r="S57" s="246">
        <f>+M57+VLOOKUP(A57,'Change in Proportion Layers'!$A$8:$V$321,5,FALSE)+VLOOKUP(A57,'Change in Proportion Layers'!$A$8:$V$321,12,FALSE)+VLOOKUP(A57,'Change in Proportion Layers'!$A$8:$V$321,18,FALSE)</f>
        <v>-1169538</v>
      </c>
      <c r="T57" s="246">
        <f>+N57+VLOOKUP(A57,'Change in Proportion Layers'!$A$8:$V$321,6,FALSE)+VLOOKUP(A57,'Change in Proportion Layers'!$A$8:$V$321,13,FALSE)</f>
        <v>-416179</v>
      </c>
      <c r="U57" s="246">
        <f>+O57+VLOOKUP(A57,'Change in Proportion Layers'!$A$8:$V$321,7,FALSE)+1</f>
        <v>-936850</v>
      </c>
      <c r="W57" s="246">
        <f>('OPEB Amounts_Report'!G57-'OPEB Amounts_Report'!M57)</f>
        <v>-7290627</v>
      </c>
      <c r="X57" s="282">
        <f>SUM(Q57:U57)-('OPEB Amounts_Report'!G57-'OPEB Amounts_Report'!M57)</f>
        <v>0</v>
      </c>
    </row>
    <row r="58" spans="1:24" s="8" customFormat="1">
      <c r="A58" s="235">
        <v>2180</v>
      </c>
      <c r="B58" s="236" t="s">
        <v>48</v>
      </c>
      <c r="C58" s="245">
        <f t="shared" si="0"/>
        <v>-1495261</v>
      </c>
      <c r="D58" s="245">
        <f t="shared" si="1"/>
        <v>-1016770</v>
      </c>
      <c r="E58" s="245">
        <f t="shared" si="2"/>
        <v>-679649</v>
      </c>
      <c r="F58" s="245">
        <f t="shared" si="3"/>
        <v>-245174</v>
      </c>
      <c r="G58" s="245">
        <f t="shared" si="4"/>
        <v>-362909</v>
      </c>
      <c r="I58" s="51"/>
      <c r="K58" s="156">
        <f>ROUND(VLOOKUP($A58,'Contribution Allocation_Report'!$A$9:$D$310,4,FALSE)*$K$323,0)</f>
        <v>-1347734</v>
      </c>
      <c r="L58" s="156">
        <f>ROUND(VLOOKUP($A58,'Contribution Allocation_Report'!$A$9:$D$310,4,FALSE)*$L$323,0)</f>
        <v>-848137</v>
      </c>
      <c r="M58" s="156">
        <f>ROUND(VLOOKUP($A58,'Contribution Allocation_Report'!$A$9:$D$310,4,FALSE)*$M$323,0)</f>
        <v>-481896</v>
      </c>
      <c r="N58" s="156">
        <f>ROUND(VLOOKUP($A58,'Contribution Allocation_Report'!$A$9:$D$310,4,FALSE)*$N$323,0)</f>
        <v>-95824</v>
      </c>
      <c r="O58" s="246">
        <f>ROUND(VLOOKUP($A58,'Contribution Allocation_Report'!$A$9:$D$310,4,FALSE)*$O$323,0)</f>
        <v>-394102</v>
      </c>
      <c r="Q58" s="246">
        <f>+K58+VLOOKUP(A58,'Change in Proportion Layers'!$A$8:$I$321,3,FALSE)+VLOOKUP(A58,'Change in Proportion Layers'!$A$8:$V$321,10,FALSE)+VLOOKUP(A58,'Change in Proportion Layers'!$A$8:$V$321,16,FALSE)+VLOOKUP(A58,'Change in Proportion Layers'!$A$8:$V$321,21,FALSE)</f>
        <v>-1495261</v>
      </c>
      <c r="R58" s="246">
        <f>+L58+VLOOKUP(A58,'Change in Proportion Layers'!$A$8:$V$321,4,FALSE)+VLOOKUP(A58,'Change in Proportion Layers'!$A$8:$V$321,11,FALSE)+VLOOKUP(A58,'Change in Proportion Layers'!$A$8:$V$321,17,FALSE)+VLOOKUP(A58,'Change in Proportion Layers'!$A$8:$V$321,22,FALSE)</f>
        <v>-1016770</v>
      </c>
      <c r="S58" s="246">
        <f>+M58+VLOOKUP(A58,'Change in Proportion Layers'!$A$8:$V$321,5,FALSE)+VLOOKUP(A58,'Change in Proportion Layers'!$A$8:$V$321,12,FALSE)+VLOOKUP(A58,'Change in Proportion Layers'!$A$8:$V$321,18,FALSE)</f>
        <v>-679649</v>
      </c>
      <c r="T58" s="246">
        <f>+N58+VLOOKUP(A58,'Change in Proportion Layers'!$A$8:$V$321,6,FALSE)+VLOOKUP(A58,'Change in Proportion Layers'!$A$8:$V$321,13,FALSE)</f>
        <v>-245174</v>
      </c>
      <c r="U58" s="246">
        <f>+O58+VLOOKUP(A58,'Change in Proportion Layers'!$A$8:$V$321,7,FALSE)+1</f>
        <v>-362909</v>
      </c>
      <c r="W58" s="246">
        <f>('OPEB Amounts_Report'!G58-'OPEB Amounts_Report'!M58)</f>
        <v>-3799763</v>
      </c>
      <c r="X58" s="282">
        <f>SUM(Q58:U58)-('OPEB Amounts_Report'!G58-'OPEB Amounts_Report'!M58)</f>
        <v>0</v>
      </c>
    </row>
    <row r="59" spans="1:24" s="8" customFormat="1">
      <c r="A59" s="237">
        <v>2210</v>
      </c>
      <c r="B59" s="238" t="s">
        <v>49</v>
      </c>
      <c r="C59" s="48">
        <f t="shared" si="0"/>
        <v>-793946</v>
      </c>
      <c r="D59" s="48">
        <f t="shared" si="1"/>
        <v>-544385</v>
      </c>
      <c r="E59" s="48">
        <f t="shared" si="2"/>
        <v>-324823</v>
      </c>
      <c r="F59" s="48">
        <f t="shared" si="3"/>
        <v>-113407</v>
      </c>
      <c r="G59" s="48">
        <f t="shared" si="4"/>
        <v>-179144</v>
      </c>
      <c r="I59" s="51"/>
      <c r="K59" s="156">
        <f>ROUND(VLOOKUP($A59,'Contribution Allocation_Report'!$A$9:$D$310,4,FALSE)*$K$323,0)</f>
        <v>-641124</v>
      </c>
      <c r="L59" s="156">
        <f>ROUND(VLOOKUP($A59,'Contribution Allocation_Report'!$A$9:$D$310,4,FALSE)*$L$323,0)</f>
        <v>-403463</v>
      </c>
      <c r="M59" s="156">
        <f>ROUND(VLOOKUP($A59,'Contribution Allocation_Report'!$A$9:$D$310,4,FALSE)*$M$323,0)</f>
        <v>-229240</v>
      </c>
      <c r="N59" s="156">
        <f>ROUND(VLOOKUP($A59,'Contribution Allocation_Report'!$A$9:$D$310,4,FALSE)*$N$323,0)</f>
        <v>-45584</v>
      </c>
      <c r="O59" s="246">
        <f>ROUND(VLOOKUP($A59,'Contribution Allocation_Report'!$A$9:$D$310,4,FALSE)*$O$323,0)</f>
        <v>-187476</v>
      </c>
      <c r="Q59" s="246">
        <f>+K59+VLOOKUP(A59,'Change in Proportion Layers'!$A$8:$I$321,3,FALSE)+VLOOKUP(A59,'Change in Proportion Layers'!$A$8:$V$321,10,FALSE)+VLOOKUP(A59,'Change in Proportion Layers'!$A$8:$V$321,16,FALSE)+VLOOKUP(A59,'Change in Proportion Layers'!$A$8:$V$321,21,FALSE)</f>
        <v>-793946</v>
      </c>
      <c r="R59" s="246">
        <f>+L59+VLOOKUP(A59,'Change in Proportion Layers'!$A$8:$V$321,4,FALSE)+VLOOKUP(A59,'Change in Proportion Layers'!$A$8:$V$321,11,FALSE)+VLOOKUP(A59,'Change in Proportion Layers'!$A$8:$V$321,17,FALSE)+VLOOKUP(A59,'Change in Proportion Layers'!$A$8:$V$321,22,FALSE)</f>
        <v>-544385</v>
      </c>
      <c r="S59" s="246">
        <f>+M59+VLOOKUP(A59,'Change in Proportion Layers'!$A$8:$V$321,5,FALSE)+VLOOKUP(A59,'Change in Proportion Layers'!$A$8:$V$321,12,FALSE)+VLOOKUP(A59,'Change in Proportion Layers'!$A$8:$V$321,18,FALSE)</f>
        <v>-324823</v>
      </c>
      <c r="T59" s="246">
        <f>+N59+VLOOKUP(A59,'Change in Proportion Layers'!$A$8:$V$321,6,FALSE)+VLOOKUP(A59,'Change in Proportion Layers'!$A$8:$V$321,13,FALSE)</f>
        <v>-113407</v>
      </c>
      <c r="U59" s="246">
        <f>+O59+VLOOKUP(A59,'Change in Proportion Layers'!$A$8:$V$321,7,FALSE)-1</f>
        <v>-179144</v>
      </c>
      <c r="W59" s="246">
        <f>('OPEB Amounts_Report'!G59-'OPEB Amounts_Report'!M59)</f>
        <v>-1955705</v>
      </c>
      <c r="X59" s="282">
        <f>SUM(Q59:U59)-('OPEB Amounts_Report'!G59-'OPEB Amounts_Report'!M59)</f>
        <v>0</v>
      </c>
    </row>
    <row r="60" spans="1:24" s="8" customFormat="1">
      <c r="A60" s="235">
        <v>2290</v>
      </c>
      <c r="B60" s="236" t="s">
        <v>50</v>
      </c>
      <c r="C60" s="245">
        <f t="shared" si="0"/>
        <v>-628664</v>
      </c>
      <c r="D60" s="245">
        <f t="shared" si="1"/>
        <v>-408967</v>
      </c>
      <c r="E60" s="245">
        <f t="shared" si="2"/>
        <v>-247896</v>
      </c>
      <c r="F60" s="245">
        <f t="shared" si="3"/>
        <v>-21894</v>
      </c>
      <c r="G60" s="245">
        <f t="shared" si="4"/>
        <v>-152892</v>
      </c>
      <c r="I60" s="51"/>
      <c r="K60" s="156">
        <f>ROUND(VLOOKUP($A60,'Contribution Allocation_Report'!$A$9:$D$310,4,FALSE)*$K$323,0)</f>
        <v>-630061</v>
      </c>
      <c r="L60" s="156">
        <f>ROUND(VLOOKUP($A60,'Contribution Allocation_Report'!$A$9:$D$310,4,FALSE)*$L$323,0)</f>
        <v>-396501</v>
      </c>
      <c r="M60" s="156">
        <f>ROUND(VLOOKUP($A60,'Contribution Allocation_Report'!$A$9:$D$310,4,FALSE)*$M$323,0)</f>
        <v>-225285</v>
      </c>
      <c r="N60" s="156">
        <f>ROUND(VLOOKUP($A60,'Contribution Allocation_Report'!$A$9:$D$310,4,FALSE)*$N$323,0)</f>
        <v>-44797</v>
      </c>
      <c r="O60" s="246">
        <f>ROUND(VLOOKUP($A60,'Contribution Allocation_Report'!$A$9:$D$310,4,FALSE)*$O$323,0)</f>
        <v>-184241</v>
      </c>
      <c r="Q60" s="246">
        <f>+K60+VLOOKUP(A60,'Change in Proportion Layers'!$A$8:$I$321,3,FALSE)+VLOOKUP(A60,'Change in Proportion Layers'!$A$8:$V$321,10,FALSE)+VLOOKUP(A60,'Change in Proportion Layers'!$A$8:$V$321,16,FALSE)+VLOOKUP(A60,'Change in Proportion Layers'!$A$8:$V$321,21,FALSE)</f>
        <v>-628664</v>
      </c>
      <c r="R60" s="246">
        <f>+L60+VLOOKUP(A60,'Change in Proportion Layers'!$A$8:$V$321,4,FALSE)+VLOOKUP(A60,'Change in Proportion Layers'!$A$8:$V$321,11,FALSE)+VLOOKUP(A60,'Change in Proportion Layers'!$A$8:$V$321,17,FALSE)+VLOOKUP(A60,'Change in Proportion Layers'!$A$8:$V$321,22,FALSE)</f>
        <v>-408967</v>
      </c>
      <c r="S60" s="246">
        <f>+M60+VLOOKUP(A60,'Change in Proportion Layers'!$A$8:$V$321,5,FALSE)+VLOOKUP(A60,'Change in Proportion Layers'!$A$8:$V$321,12,FALSE)+VLOOKUP(A60,'Change in Proportion Layers'!$A$8:$V$321,18,FALSE)</f>
        <v>-247896</v>
      </c>
      <c r="T60" s="246">
        <f>+N60+VLOOKUP(A60,'Change in Proportion Layers'!$A$8:$V$321,6,FALSE)+VLOOKUP(A60,'Change in Proportion Layers'!$A$8:$V$321,13,FALSE)</f>
        <v>-21894</v>
      </c>
      <c r="U60" s="246">
        <f>+O60+VLOOKUP(A60,'Change in Proportion Layers'!$A$8:$V$321,7,FALSE)-1</f>
        <v>-152892</v>
      </c>
      <c r="W60" s="246">
        <f>('OPEB Amounts_Report'!G60-'OPEB Amounts_Report'!M60)</f>
        <v>-1460313</v>
      </c>
      <c r="X60" s="282">
        <f>SUM(Q60:U60)-('OPEB Amounts_Report'!G60-'OPEB Amounts_Report'!M60)</f>
        <v>0</v>
      </c>
    </row>
    <row r="61" spans="1:24" s="8" customFormat="1">
      <c r="A61" s="237">
        <v>2310</v>
      </c>
      <c r="B61" s="238" t="s">
        <v>51</v>
      </c>
      <c r="C61" s="48">
        <f t="shared" si="0"/>
        <v>-5519212</v>
      </c>
      <c r="D61" s="48">
        <f t="shared" si="1"/>
        <v>-3684485</v>
      </c>
      <c r="E61" s="48">
        <f t="shared" si="2"/>
        <v>-2296508</v>
      </c>
      <c r="F61" s="48">
        <f t="shared" si="3"/>
        <v>-1567576</v>
      </c>
      <c r="G61" s="48">
        <f t="shared" si="4"/>
        <v>-1483781</v>
      </c>
      <c r="I61" s="51"/>
      <c r="K61" s="156">
        <f>ROUND(VLOOKUP($A61,'Contribution Allocation_Report'!$A$9:$D$310,4,FALSE)*$K$323,0)</f>
        <v>-4424116</v>
      </c>
      <c r="L61" s="156">
        <f>ROUND(VLOOKUP($A61,'Contribution Allocation_Report'!$A$9:$D$310,4,FALSE)*$L$323,0)</f>
        <v>-2784123</v>
      </c>
      <c r="M61" s="156">
        <f>ROUND(VLOOKUP($A61,'Contribution Allocation_Report'!$A$9:$D$310,4,FALSE)*$M$323,0)</f>
        <v>-1581888</v>
      </c>
      <c r="N61" s="156">
        <f>ROUND(VLOOKUP($A61,'Contribution Allocation_Report'!$A$9:$D$310,4,FALSE)*$N$323,0)</f>
        <v>-314555</v>
      </c>
      <c r="O61" s="246">
        <f>ROUND(VLOOKUP($A61,'Contribution Allocation_Report'!$A$9:$D$310,4,FALSE)*$O$323,0)</f>
        <v>-1293692</v>
      </c>
      <c r="Q61" s="246">
        <f>+K61+VLOOKUP(A61,'Change in Proportion Layers'!$A$8:$I$321,3,FALSE)+VLOOKUP(A61,'Change in Proportion Layers'!$A$8:$V$321,10,FALSE)+VLOOKUP(A61,'Change in Proportion Layers'!$A$8:$V$321,16,FALSE)+VLOOKUP(A61,'Change in Proportion Layers'!$A$8:$V$321,21,FALSE)</f>
        <v>-5519212</v>
      </c>
      <c r="R61" s="246">
        <f>+L61+VLOOKUP(A61,'Change in Proportion Layers'!$A$8:$V$321,4,FALSE)+VLOOKUP(A61,'Change in Proportion Layers'!$A$8:$V$321,11,FALSE)+VLOOKUP(A61,'Change in Proportion Layers'!$A$8:$V$321,17,FALSE)+VLOOKUP(A61,'Change in Proportion Layers'!$A$8:$V$321,22,FALSE)</f>
        <v>-3684485</v>
      </c>
      <c r="S61" s="246">
        <f>+M61+VLOOKUP(A61,'Change in Proportion Layers'!$A$8:$V$321,5,FALSE)+VLOOKUP(A61,'Change in Proportion Layers'!$A$8:$V$321,12,FALSE)+VLOOKUP(A61,'Change in Proportion Layers'!$A$8:$V$321,18,FALSE)</f>
        <v>-2296508</v>
      </c>
      <c r="T61" s="246">
        <f>+N61+VLOOKUP(A61,'Change in Proportion Layers'!$A$8:$V$321,6,FALSE)+VLOOKUP(A61,'Change in Proportion Layers'!$A$8:$V$321,13,FALSE)</f>
        <v>-1567576</v>
      </c>
      <c r="U61" s="246">
        <f>+O61+VLOOKUP(A61,'Change in Proportion Layers'!$A$8:$V$321,7,FALSE)</f>
        <v>-1483781</v>
      </c>
      <c r="W61" s="246">
        <f>('OPEB Amounts_Report'!G61-'OPEB Amounts_Report'!M61)</f>
        <v>-14551562</v>
      </c>
      <c r="X61" s="282">
        <f>SUM(Q61:U61)-('OPEB Amounts_Report'!G61-'OPEB Amounts_Report'!M61)</f>
        <v>0</v>
      </c>
    </row>
    <row r="62" spans="1:24" s="8" customFormat="1">
      <c r="A62" s="235">
        <v>2330</v>
      </c>
      <c r="B62" s="236" t="s">
        <v>52</v>
      </c>
      <c r="C62" s="245">
        <f t="shared" si="0"/>
        <v>-1882331</v>
      </c>
      <c r="D62" s="245">
        <f t="shared" si="1"/>
        <v>-1493550</v>
      </c>
      <c r="E62" s="245">
        <f t="shared" si="2"/>
        <v>-1232452</v>
      </c>
      <c r="F62" s="245">
        <f t="shared" si="3"/>
        <v>-318455</v>
      </c>
      <c r="G62" s="245">
        <f t="shared" si="4"/>
        <v>-595764</v>
      </c>
      <c r="I62" s="51"/>
      <c r="K62" s="156">
        <f>ROUND(VLOOKUP($A62,'Contribution Allocation_Report'!$A$9:$D$310,4,FALSE)*$K$323,0)</f>
        <v>-1486112</v>
      </c>
      <c r="L62" s="156">
        <f>ROUND(VLOOKUP($A62,'Contribution Allocation_Report'!$A$9:$D$310,4,FALSE)*$L$323,0)</f>
        <v>-935219</v>
      </c>
      <c r="M62" s="156">
        <f>ROUND(VLOOKUP($A62,'Contribution Allocation_Report'!$A$9:$D$310,4,FALSE)*$M$323,0)</f>
        <v>-531374</v>
      </c>
      <c r="N62" s="156">
        <f>ROUND(VLOOKUP($A62,'Contribution Allocation_Report'!$A$9:$D$310,4,FALSE)*$N$323,0)</f>
        <v>-105663</v>
      </c>
      <c r="O62" s="246">
        <f>ROUND(VLOOKUP($A62,'Contribution Allocation_Report'!$A$9:$D$310,4,FALSE)*$O$323,0)</f>
        <v>-434566</v>
      </c>
      <c r="Q62" s="246">
        <f>+K62+VLOOKUP(A62,'Change in Proportion Layers'!$A$8:$I$321,3,FALSE)+VLOOKUP(A62,'Change in Proportion Layers'!$A$8:$V$321,10,FALSE)+VLOOKUP(A62,'Change in Proportion Layers'!$A$8:$V$321,16,FALSE)+VLOOKUP(A62,'Change in Proportion Layers'!$A$8:$V$321,21,FALSE)</f>
        <v>-1882331</v>
      </c>
      <c r="R62" s="246">
        <f>+L62+VLOOKUP(A62,'Change in Proportion Layers'!$A$8:$V$321,4,FALSE)+VLOOKUP(A62,'Change in Proportion Layers'!$A$8:$V$321,11,FALSE)+VLOOKUP(A62,'Change in Proportion Layers'!$A$8:$V$321,17,FALSE)+VLOOKUP(A62,'Change in Proportion Layers'!$A$8:$V$321,22,FALSE)</f>
        <v>-1493550</v>
      </c>
      <c r="S62" s="246">
        <f>+M62+VLOOKUP(A62,'Change in Proportion Layers'!$A$8:$V$321,5,FALSE)+VLOOKUP(A62,'Change in Proportion Layers'!$A$8:$V$321,12,FALSE)+VLOOKUP(A62,'Change in Proportion Layers'!$A$8:$V$321,18,FALSE)</f>
        <v>-1232452</v>
      </c>
      <c r="T62" s="246">
        <f>+N62+VLOOKUP(A62,'Change in Proportion Layers'!$A$8:$V$321,6,FALSE)+VLOOKUP(A62,'Change in Proportion Layers'!$A$8:$V$321,13,FALSE)</f>
        <v>-318455</v>
      </c>
      <c r="U62" s="246">
        <f>+O62+VLOOKUP(A62,'Change in Proportion Layers'!$A$8:$V$321,7,FALSE)</f>
        <v>-595764</v>
      </c>
      <c r="W62" s="246">
        <f>('OPEB Amounts_Report'!G62-'OPEB Amounts_Report'!M62)</f>
        <v>-5522552</v>
      </c>
      <c r="X62" s="282">
        <f>SUM(Q62:U62)-('OPEB Amounts_Report'!G62-'OPEB Amounts_Report'!M62)</f>
        <v>0</v>
      </c>
    </row>
    <row r="63" spans="1:24" s="8" customFormat="1">
      <c r="A63" s="237">
        <v>2380</v>
      </c>
      <c r="B63" s="238" t="s">
        <v>53</v>
      </c>
      <c r="C63" s="48">
        <f t="shared" si="0"/>
        <v>-9347</v>
      </c>
      <c r="D63" s="48">
        <f t="shared" si="1"/>
        <v>68260</v>
      </c>
      <c r="E63" s="48">
        <f t="shared" si="2"/>
        <v>92208</v>
      </c>
      <c r="F63" s="48">
        <f t="shared" si="3"/>
        <v>105075</v>
      </c>
      <c r="G63" s="48">
        <f t="shared" si="4"/>
        <v>-8156</v>
      </c>
      <c r="I63" s="51"/>
      <c r="K63" s="156">
        <f>ROUND(VLOOKUP($A63,'Contribution Allocation_Report'!$A$9:$D$310,4,FALSE)*$K$323,0)</f>
        <v>-217880</v>
      </c>
      <c r="L63" s="156">
        <f>ROUND(VLOOKUP($A63,'Contribution Allocation_Report'!$A$9:$D$310,4,FALSE)*$L$323,0)</f>
        <v>-137113</v>
      </c>
      <c r="M63" s="156">
        <f>ROUND(VLOOKUP($A63,'Contribution Allocation_Report'!$A$9:$D$310,4,FALSE)*$M$323,0)</f>
        <v>-77905</v>
      </c>
      <c r="N63" s="156">
        <f>ROUND(VLOOKUP($A63,'Contribution Allocation_Report'!$A$9:$D$310,4,FALSE)*$N$323,0)</f>
        <v>-15491</v>
      </c>
      <c r="O63" s="246">
        <f>ROUND(VLOOKUP($A63,'Contribution Allocation_Report'!$A$9:$D$310,4,FALSE)*$O$323,0)</f>
        <v>-63712</v>
      </c>
      <c r="Q63" s="246">
        <f>+K63+VLOOKUP(A63,'Change in Proportion Layers'!$A$8:$I$321,3,FALSE)+VLOOKUP(A63,'Change in Proportion Layers'!$A$8:$V$321,10,FALSE)+VLOOKUP(A63,'Change in Proportion Layers'!$A$8:$V$321,16,FALSE)+VLOOKUP(A63,'Change in Proportion Layers'!$A$8:$V$321,21,FALSE)</f>
        <v>-9347</v>
      </c>
      <c r="R63" s="246">
        <f>+L63+VLOOKUP(A63,'Change in Proportion Layers'!$A$8:$V$321,4,FALSE)+VLOOKUP(A63,'Change in Proportion Layers'!$A$8:$V$321,11,FALSE)+VLOOKUP(A63,'Change in Proportion Layers'!$A$8:$V$321,17,FALSE)+VLOOKUP(A63,'Change in Proportion Layers'!$A$8:$V$321,22,FALSE)</f>
        <v>68260</v>
      </c>
      <c r="S63" s="246">
        <f>+M63+VLOOKUP(A63,'Change in Proportion Layers'!$A$8:$V$321,5,FALSE)+VLOOKUP(A63,'Change in Proportion Layers'!$A$8:$V$321,12,FALSE)+VLOOKUP(A63,'Change in Proportion Layers'!$A$8:$V$321,18,FALSE)</f>
        <v>92208</v>
      </c>
      <c r="T63" s="246">
        <f>+N63+VLOOKUP(A63,'Change in Proportion Layers'!$A$8:$V$321,6,FALSE)+VLOOKUP(A63,'Change in Proportion Layers'!$A$8:$V$321,13,FALSE)</f>
        <v>105075</v>
      </c>
      <c r="U63" s="246">
        <f>+O63+VLOOKUP(A63,'Change in Proportion Layers'!$A$8:$V$321,7,FALSE)-1</f>
        <v>-8156</v>
      </c>
      <c r="W63" s="246">
        <f>('OPEB Amounts_Report'!G63-'OPEB Amounts_Report'!M63)</f>
        <v>248040</v>
      </c>
      <c r="X63" s="282">
        <f>SUM(Q63:U63)-('OPEB Amounts_Report'!G63-'OPEB Amounts_Report'!M63)</f>
        <v>0</v>
      </c>
    </row>
    <row r="64" spans="1:24" s="8" customFormat="1">
      <c r="A64" s="235">
        <v>2400</v>
      </c>
      <c r="B64" s="236" t="s">
        <v>54</v>
      </c>
      <c r="C64" s="245">
        <f t="shared" si="0"/>
        <v>-7489597</v>
      </c>
      <c r="D64" s="245">
        <f t="shared" si="1"/>
        <v>-4595738</v>
      </c>
      <c r="E64" s="245">
        <f t="shared" si="2"/>
        <v>-2787110</v>
      </c>
      <c r="F64" s="245">
        <f t="shared" si="3"/>
        <v>-1473539</v>
      </c>
      <c r="G64" s="245">
        <f t="shared" si="4"/>
        <v>-2089379</v>
      </c>
      <c r="I64" s="51"/>
      <c r="K64" s="156">
        <f>ROUND(VLOOKUP($A64,'Contribution Allocation_Report'!$A$9:$D$310,4,FALSE)*$K$323,0)</f>
        <v>-7547422</v>
      </c>
      <c r="L64" s="156">
        <f>ROUND(VLOOKUP($A64,'Contribution Allocation_Report'!$A$9:$D$310,4,FALSE)*$L$323,0)</f>
        <v>-4749638</v>
      </c>
      <c r="M64" s="156">
        <f>ROUND(VLOOKUP($A64,'Contribution Allocation_Report'!$A$9:$D$310,4,FALSE)*$M$323,0)</f>
        <v>-2698658</v>
      </c>
      <c r="N64" s="156">
        <f>ROUND(VLOOKUP($A64,'Contribution Allocation_Report'!$A$9:$D$310,4,FALSE)*$N$323,0)</f>
        <v>-536622</v>
      </c>
      <c r="O64" s="246">
        <f>ROUND(VLOOKUP($A64,'Contribution Allocation_Report'!$A$9:$D$310,4,FALSE)*$O$323,0)</f>
        <v>-2207003</v>
      </c>
      <c r="Q64" s="246">
        <f>+K64+VLOOKUP(A64,'Change in Proportion Layers'!$A$8:$I$321,3,FALSE)+VLOOKUP(A64,'Change in Proportion Layers'!$A$8:$V$321,10,FALSE)+VLOOKUP(A64,'Change in Proportion Layers'!$A$8:$V$321,16,FALSE)+VLOOKUP(A64,'Change in Proportion Layers'!$A$8:$V$321,21,FALSE)</f>
        <v>-7489597</v>
      </c>
      <c r="R64" s="246">
        <f>+L64+VLOOKUP(A64,'Change in Proportion Layers'!$A$8:$V$321,4,FALSE)+VLOOKUP(A64,'Change in Proportion Layers'!$A$8:$V$321,11,FALSE)+VLOOKUP(A64,'Change in Proportion Layers'!$A$8:$V$321,17,FALSE)+VLOOKUP(A64,'Change in Proportion Layers'!$A$8:$V$321,22,FALSE)</f>
        <v>-4595738</v>
      </c>
      <c r="S64" s="246">
        <f>+M64+VLOOKUP(A64,'Change in Proportion Layers'!$A$8:$V$321,5,FALSE)+VLOOKUP(A64,'Change in Proportion Layers'!$A$8:$V$321,12,FALSE)+VLOOKUP(A64,'Change in Proportion Layers'!$A$8:$V$321,18,FALSE)</f>
        <v>-2787110</v>
      </c>
      <c r="T64" s="246">
        <f>+N64+VLOOKUP(A64,'Change in Proportion Layers'!$A$8:$V$321,6,FALSE)+VLOOKUP(A64,'Change in Proportion Layers'!$A$8:$V$321,13,FALSE)</f>
        <v>-1473539</v>
      </c>
      <c r="U64" s="246">
        <f>+O64+VLOOKUP(A64,'Change in Proportion Layers'!$A$8:$V$321,7,FALSE)</f>
        <v>-2089379</v>
      </c>
      <c r="W64" s="246">
        <f>('OPEB Amounts_Report'!G64-'OPEB Amounts_Report'!M64)</f>
        <v>-18435363</v>
      </c>
      <c r="X64" s="282">
        <f>SUM(Q64:U64)-('OPEB Amounts_Report'!G64-'OPEB Amounts_Report'!M64)</f>
        <v>0</v>
      </c>
    </row>
    <row r="65" spans="1:24" s="8" customFormat="1">
      <c r="A65" s="237">
        <v>2410</v>
      </c>
      <c r="B65" s="238" t="s">
        <v>55</v>
      </c>
      <c r="C65" s="48">
        <f t="shared" si="0"/>
        <v>-1166370</v>
      </c>
      <c r="D65" s="48">
        <f t="shared" si="1"/>
        <v>-820226</v>
      </c>
      <c r="E65" s="48">
        <f t="shared" si="2"/>
        <v>-425752</v>
      </c>
      <c r="F65" s="48">
        <f t="shared" si="3"/>
        <v>69581</v>
      </c>
      <c r="G65" s="48">
        <f t="shared" si="4"/>
        <v>-231694</v>
      </c>
      <c r="I65" s="51"/>
      <c r="K65" s="156">
        <f>ROUND(VLOOKUP($A65,'Contribution Allocation_Report'!$A$9:$D$310,4,FALSE)*$K$323,0)</f>
        <v>-920177</v>
      </c>
      <c r="L65" s="156">
        <f>ROUND(VLOOKUP($A65,'Contribution Allocation_Report'!$A$9:$D$310,4,FALSE)*$L$323,0)</f>
        <v>-579073</v>
      </c>
      <c r="M65" s="156">
        <f>ROUND(VLOOKUP($A65,'Contribution Allocation_Report'!$A$9:$D$310,4,FALSE)*$M$323,0)</f>
        <v>-329019</v>
      </c>
      <c r="N65" s="156">
        <f>ROUND(VLOOKUP($A65,'Contribution Allocation_Report'!$A$9:$D$310,4,FALSE)*$N$323,0)</f>
        <v>-65425</v>
      </c>
      <c r="O65" s="246">
        <f>ROUND(VLOOKUP($A65,'Contribution Allocation_Report'!$A$9:$D$310,4,FALSE)*$O$323,0)</f>
        <v>-269077</v>
      </c>
      <c r="Q65" s="246">
        <f>+K65+VLOOKUP(A65,'Change in Proportion Layers'!$A$8:$I$321,3,FALSE)+VLOOKUP(A65,'Change in Proportion Layers'!$A$8:$V$321,10,FALSE)+VLOOKUP(A65,'Change in Proportion Layers'!$A$8:$V$321,16,FALSE)+VLOOKUP(A65,'Change in Proportion Layers'!$A$8:$V$321,21,FALSE)</f>
        <v>-1166370</v>
      </c>
      <c r="R65" s="246">
        <f>+L65+VLOOKUP(A65,'Change in Proportion Layers'!$A$8:$V$321,4,FALSE)+VLOOKUP(A65,'Change in Proportion Layers'!$A$8:$V$321,11,FALSE)+VLOOKUP(A65,'Change in Proportion Layers'!$A$8:$V$321,17,FALSE)+VLOOKUP(A65,'Change in Proportion Layers'!$A$8:$V$321,22,FALSE)</f>
        <v>-820226</v>
      </c>
      <c r="S65" s="246">
        <f>+M65+VLOOKUP(A65,'Change in Proportion Layers'!$A$8:$V$321,5,FALSE)+VLOOKUP(A65,'Change in Proportion Layers'!$A$8:$V$321,12,FALSE)+VLOOKUP(A65,'Change in Proportion Layers'!$A$8:$V$321,18,FALSE)</f>
        <v>-425752</v>
      </c>
      <c r="T65" s="246">
        <f>+N65+VLOOKUP(A65,'Change in Proportion Layers'!$A$8:$V$321,6,FALSE)+VLOOKUP(A65,'Change in Proportion Layers'!$A$8:$V$321,13,FALSE)</f>
        <v>69581</v>
      </c>
      <c r="U65" s="246">
        <f>+O65+VLOOKUP(A65,'Change in Proportion Layers'!$A$8:$V$321,7,FALSE)</f>
        <v>-231694</v>
      </c>
      <c r="W65" s="246">
        <f>('OPEB Amounts_Report'!G65-'OPEB Amounts_Report'!M65)</f>
        <v>-2574461</v>
      </c>
      <c r="X65" s="282">
        <f>SUM(Q65:U65)-('OPEB Amounts_Report'!G65-'OPEB Amounts_Report'!M65)</f>
        <v>0</v>
      </c>
    </row>
    <row r="66" spans="1:24" s="8" customFormat="1">
      <c r="A66" s="235">
        <v>2500</v>
      </c>
      <c r="B66" s="236" t="s">
        <v>56</v>
      </c>
      <c r="C66" s="245">
        <f t="shared" si="0"/>
        <v>-138570</v>
      </c>
      <c r="D66" s="245">
        <f t="shared" si="1"/>
        <v>-103267</v>
      </c>
      <c r="E66" s="245">
        <f t="shared" si="2"/>
        <v>-86080</v>
      </c>
      <c r="F66" s="245">
        <f t="shared" si="3"/>
        <v>-16355</v>
      </c>
      <c r="G66" s="245">
        <f t="shared" si="4"/>
        <v>-34105</v>
      </c>
      <c r="I66" s="51"/>
      <c r="K66" s="156">
        <f>ROUND(VLOOKUP($A66,'Contribution Allocation_Report'!$A$9:$D$310,4,FALSE)*$K$323,0)</f>
        <v>-133737</v>
      </c>
      <c r="L66" s="156">
        <f>ROUND(VLOOKUP($A66,'Contribution Allocation_Report'!$A$9:$D$310,4,FALSE)*$L$323,0)</f>
        <v>-84162</v>
      </c>
      <c r="M66" s="156">
        <f>ROUND(VLOOKUP($A66,'Contribution Allocation_Report'!$A$9:$D$310,4,FALSE)*$M$323,0)</f>
        <v>-47819</v>
      </c>
      <c r="N66" s="156">
        <f>ROUND(VLOOKUP($A66,'Contribution Allocation_Report'!$A$9:$D$310,4,FALSE)*$N$323,0)</f>
        <v>-9509</v>
      </c>
      <c r="O66" s="246">
        <f>ROUND(VLOOKUP($A66,'Contribution Allocation_Report'!$A$9:$D$310,4,FALSE)*$O$323,0)</f>
        <v>-39107</v>
      </c>
      <c r="Q66" s="246">
        <f>+K66+VLOOKUP(A66,'Change in Proportion Layers'!$A$8:$I$321,3,FALSE)+VLOOKUP(A66,'Change in Proportion Layers'!$A$8:$V$321,10,FALSE)+VLOOKUP(A66,'Change in Proportion Layers'!$A$8:$V$321,16,FALSE)+VLOOKUP(A66,'Change in Proportion Layers'!$A$8:$V$321,21,FALSE)</f>
        <v>-138570</v>
      </c>
      <c r="R66" s="246">
        <f>+L66+VLOOKUP(A66,'Change in Proportion Layers'!$A$8:$V$321,4,FALSE)+VLOOKUP(A66,'Change in Proportion Layers'!$A$8:$V$321,11,FALSE)+VLOOKUP(A66,'Change in Proportion Layers'!$A$8:$V$321,17,FALSE)+VLOOKUP(A66,'Change in Proportion Layers'!$A$8:$V$321,22,FALSE)</f>
        <v>-103267</v>
      </c>
      <c r="S66" s="246">
        <f>+M66+VLOOKUP(A66,'Change in Proportion Layers'!$A$8:$V$321,5,FALSE)+VLOOKUP(A66,'Change in Proportion Layers'!$A$8:$V$321,12,FALSE)+VLOOKUP(A66,'Change in Proportion Layers'!$A$8:$V$321,18,FALSE)</f>
        <v>-86080</v>
      </c>
      <c r="T66" s="246">
        <f>+N66+VLOOKUP(A66,'Change in Proportion Layers'!$A$8:$V$321,6,FALSE)+VLOOKUP(A66,'Change in Proportion Layers'!$A$8:$V$321,13,FALSE)</f>
        <v>-16355</v>
      </c>
      <c r="U66" s="246">
        <f>+O66+VLOOKUP(A66,'Change in Proportion Layers'!$A$8:$V$321,7,FALSE)</f>
        <v>-34105</v>
      </c>
      <c r="W66" s="246">
        <f>('OPEB Amounts_Report'!G66-'OPEB Amounts_Report'!M66)</f>
        <v>-378377</v>
      </c>
      <c r="X66" s="282">
        <f>SUM(Q66:U66)-('OPEB Amounts_Report'!G66-'OPEB Amounts_Report'!M66)</f>
        <v>0</v>
      </c>
    </row>
    <row r="67" spans="1:24" s="8" customFormat="1">
      <c r="A67" s="237">
        <v>2550</v>
      </c>
      <c r="B67" s="238" t="s">
        <v>57</v>
      </c>
      <c r="C67" s="48">
        <f t="shared" si="0"/>
        <v>-677620</v>
      </c>
      <c r="D67" s="48">
        <f t="shared" si="1"/>
        <v>-475095</v>
      </c>
      <c r="E67" s="48">
        <f t="shared" si="2"/>
        <v>-308118</v>
      </c>
      <c r="F67" s="48">
        <f t="shared" si="3"/>
        <v>-106921</v>
      </c>
      <c r="G67" s="48">
        <f t="shared" si="4"/>
        <v>-174624</v>
      </c>
      <c r="I67" s="51"/>
      <c r="K67" s="156">
        <f>ROUND(VLOOKUP($A67,'Contribution Allocation_Report'!$A$9:$D$310,4,FALSE)*$K$323,0)</f>
        <v>-553466</v>
      </c>
      <c r="L67" s="156">
        <f>ROUND(VLOOKUP($A67,'Contribution Allocation_Report'!$A$9:$D$310,4,FALSE)*$L$323,0)</f>
        <v>-348299</v>
      </c>
      <c r="M67" s="156">
        <f>ROUND(VLOOKUP($A67,'Contribution Allocation_Report'!$A$9:$D$310,4,FALSE)*$M$323,0)</f>
        <v>-197897</v>
      </c>
      <c r="N67" s="156">
        <f>ROUND(VLOOKUP($A67,'Contribution Allocation_Report'!$A$9:$D$310,4,FALSE)*$N$323,0)</f>
        <v>-39351</v>
      </c>
      <c r="O67" s="246">
        <f>ROUND(VLOOKUP($A67,'Contribution Allocation_Report'!$A$9:$D$310,4,FALSE)*$O$323,0)</f>
        <v>-161843</v>
      </c>
      <c r="Q67" s="246">
        <f>+K67+VLOOKUP(A67,'Change in Proportion Layers'!$A$8:$I$321,3,FALSE)+VLOOKUP(A67,'Change in Proportion Layers'!$A$8:$V$321,10,FALSE)+VLOOKUP(A67,'Change in Proportion Layers'!$A$8:$V$321,16,FALSE)+VLOOKUP(A67,'Change in Proportion Layers'!$A$8:$V$321,21,FALSE)</f>
        <v>-677620</v>
      </c>
      <c r="R67" s="246">
        <f>+L67+VLOOKUP(A67,'Change in Proportion Layers'!$A$8:$V$321,4,FALSE)+VLOOKUP(A67,'Change in Proportion Layers'!$A$8:$V$321,11,FALSE)+VLOOKUP(A67,'Change in Proportion Layers'!$A$8:$V$321,17,FALSE)+VLOOKUP(A67,'Change in Proportion Layers'!$A$8:$V$321,22,FALSE)</f>
        <v>-475095</v>
      </c>
      <c r="S67" s="246">
        <f>+M67+VLOOKUP(A67,'Change in Proportion Layers'!$A$8:$V$321,5,FALSE)+VLOOKUP(A67,'Change in Proportion Layers'!$A$8:$V$321,12,FALSE)+VLOOKUP(A67,'Change in Proportion Layers'!$A$8:$V$321,18,FALSE)</f>
        <v>-308118</v>
      </c>
      <c r="T67" s="246">
        <f>+N67+VLOOKUP(A67,'Change in Proportion Layers'!$A$8:$V$321,6,FALSE)+VLOOKUP(A67,'Change in Proportion Layers'!$A$8:$V$321,13,FALSE)</f>
        <v>-106921</v>
      </c>
      <c r="U67" s="246">
        <f>+O67+VLOOKUP(A67,'Change in Proportion Layers'!$A$8:$V$321,7,FALSE)-1</f>
        <v>-174624</v>
      </c>
      <c r="W67" s="246">
        <f>('OPEB Amounts_Report'!G67-'OPEB Amounts_Report'!M67)</f>
        <v>-1742378</v>
      </c>
      <c r="X67" s="282">
        <f>SUM(Q67:U67)-('OPEB Amounts_Report'!G67-'OPEB Amounts_Report'!M67)</f>
        <v>0</v>
      </c>
    </row>
    <row r="68" spans="1:24" s="8" customFormat="1">
      <c r="A68" s="235">
        <v>2570</v>
      </c>
      <c r="B68" s="236" t="s">
        <v>58</v>
      </c>
      <c r="C68" s="245">
        <f t="shared" si="0"/>
        <v>-446359</v>
      </c>
      <c r="D68" s="245">
        <f t="shared" si="1"/>
        <v>-309299</v>
      </c>
      <c r="E68" s="245">
        <f t="shared" si="2"/>
        <v>-188058</v>
      </c>
      <c r="F68" s="245">
        <f t="shared" si="3"/>
        <v>-67765</v>
      </c>
      <c r="G68" s="245">
        <f t="shared" si="4"/>
        <v>-112158</v>
      </c>
      <c r="I68" s="51"/>
      <c r="K68" s="156">
        <f>ROUND(VLOOKUP($A68,'Contribution Allocation_Report'!$A$9:$D$310,4,FALSE)*$K$323,0)</f>
        <v>-354242</v>
      </c>
      <c r="L68" s="156">
        <f>ROUND(VLOOKUP($A68,'Contribution Allocation_Report'!$A$9:$D$310,4,FALSE)*$L$323,0)</f>
        <v>-222927</v>
      </c>
      <c r="M68" s="156">
        <f>ROUND(VLOOKUP($A68,'Contribution Allocation_Report'!$A$9:$D$310,4,FALSE)*$M$323,0)</f>
        <v>-126663</v>
      </c>
      <c r="N68" s="156">
        <f>ROUND(VLOOKUP($A68,'Contribution Allocation_Report'!$A$9:$D$310,4,FALSE)*$N$323,0)</f>
        <v>-25187</v>
      </c>
      <c r="O68" s="246">
        <f>ROUND(VLOOKUP($A68,'Contribution Allocation_Report'!$A$9:$D$310,4,FALSE)*$O$323,0)</f>
        <v>-103587</v>
      </c>
      <c r="Q68" s="246">
        <f>+K68+VLOOKUP(A68,'Change in Proportion Layers'!$A$8:$I$321,3,FALSE)+VLOOKUP(A68,'Change in Proportion Layers'!$A$8:$V$321,10,FALSE)+VLOOKUP(A68,'Change in Proportion Layers'!$A$8:$V$321,16,FALSE)+VLOOKUP(A68,'Change in Proportion Layers'!$A$8:$V$321,21,FALSE)</f>
        <v>-446359</v>
      </c>
      <c r="R68" s="246">
        <f>+L68+VLOOKUP(A68,'Change in Proportion Layers'!$A$8:$V$321,4,FALSE)+VLOOKUP(A68,'Change in Proportion Layers'!$A$8:$V$321,11,FALSE)+VLOOKUP(A68,'Change in Proportion Layers'!$A$8:$V$321,17,FALSE)+VLOOKUP(A68,'Change in Proportion Layers'!$A$8:$V$321,22,FALSE)</f>
        <v>-309299</v>
      </c>
      <c r="S68" s="246">
        <f>+M68+VLOOKUP(A68,'Change in Proportion Layers'!$A$8:$V$321,5,FALSE)+VLOOKUP(A68,'Change in Proportion Layers'!$A$8:$V$321,12,FALSE)+VLOOKUP(A68,'Change in Proportion Layers'!$A$8:$V$321,18,FALSE)</f>
        <v>-188058</v>
      </c>
      <c r="T68" s="246">
        <f>+N68+VLOOKUP(A68,'Change in Proportion Layers'!$A$8:$V$321,6,FALSE)+VLOOKUP(A68,'Change in Proportion Layers'!$A$8:$V$321,13,FALSE)</f>
        <v>-67765</v>
      </c>
      <c r="U68" s="246">
        <f>+O68+VLOOKUP(A68,'Change in Proportion Layers'!$A$8:$V$321,7,FALSE)</f>
        <v>-112158</v>
      </c>
      <c r="W68" s="246">
        <f>('OPEB Amounts_Report'!G68-'OPEB Amounts_Report'!M68)</f>
        <v>-1123639</v>
      </c>
      <c r="X68" s="282">
        <f>SUM(Q68:U68)-('OPEB Amounts_Report'!G68-'OPEB Amounts_Report'!M68)</f>
        <v>0</v>
      </c>
    </row>
    <row r="69" spans="1:24" s="8" customFormat="1">
      <c r="A69" s="237">
        <v>2620</v>
      </c>
      <c r="B69" s="238" t="s">
        <v>59</v>
      </c>
      <c r="C69" s="48">
        <f t="shared" si="0"/>
        <v>-3754578</v>
      </c>
      <c r="D69" s="48">
        <f t="shared" si="1"/>
        <v>-2423383</v>
      </c>
      <c r="E69" s="48">
        <f t="shared" si="2"/>
        <v>-1231182</v>
      </c>
      <c r="F69" s="48">
        <f t="shared" si="3"/>
        <v>-224515</v>
      </c>
      <c r="G69" s="48">
        <f t="shared" si="4"/>
        <v>-1094526</v>
      </c>
      <c r="I69" s="51"/>
      <c r="K69" s="156">
        <f>ROUND(VLOOKUP($A69,'Contribution Allocation_Report'!$A$9:$D$310,4,FALSE)*$K$323,0)</f>
        <v>-3321497</v>
      </c>
      <c r="L69" s="156">
        <f>ROUND(VLOOKUP($A69,'Contribution Allocation_Report'!$A$9:$D$310,4,FALSE)*$L$323,0)</f>
        <v>-2090238</v>
      </c>
      <c r="M69" s="156">
        <f>ROUND(VLOOKUP($A69,'Contribution Allocation_Report'!$A$9:$D$310,4,FALSE)*$M$323,0)</f>
        <v>-1187635</v>
      </c>
      <c r="N69" s="156">
        <f>ROUND(VLOOKUP($A69,'Contribution Allocation_Report'!$A$9:$D$310,4,FALSE)*$N$323,0)</f>
        <v>-236159</v>
      </c>
      <c r="O69" s="246">
        <f>ROUND(VLOOKUP($A69,'Contribution Allocation_Report'!$A$9:$D$310,4,FALSE)*$O$323,0)</f>
        <v>-971266</v>
      </c>
      <c r="Q69" s="246">
        <f>+K69+VLOOKUP(A69,'Change in Proportion Layers'!$A$8:$I$321,3,FALSE)+VLOOKUP(A69,'Change in Proportion Layers'!$A$8:$V$321,10,FALSE)+VLOOKUP(A69,'Change in Proportion Layers'!$A$8:$V$321,16,FALSE)+VLOOKUP(A69,'Change in Proportion Layers'!$A$8:$V$321,21,FALSE)</f>
        <v>-3754578</v>
      </c>
      <c r="R69" s="246">
        <f>+L69+VLOOKUP(A69,'Change in Proportion Layers'!$A$8:$V$321,4,FALSE)+VLOOKUP(A69,'Change in Proportion Layers'!$A$8:$V$321,11,FALSE)+VLOOKUP(A69,'Change in Proportion Layers'!$A$8:$V$321,17,FALSE)+VLOOKUP(A69,'Change in Proportion Layers'!$A$8:$V$321,22,FALSE)</f>
        <v>-2423383</v>
      </c>
      <c r="S69" s="246">
        <f>+M69+VLOOKUP(A69,'Change in Proportion Layers'!$A$8:$V$321,5,FALSE)+VLOOKUP(A69,'Change in Proportion Layers'!$A$8:$V$321,12,FALSE)+VLOOKUP(A69,'Change in Proportion Layers'!$A$8:$V$321,18,FALSE)</f>
        <v>-1231182</v>
      </c>
      <c r="T69" s="246">
        <f>+N69+VLOOKUP(A69,'Change in Proportion Layers'!$A$8:$V$321,6,FALSE)+VLOOKUP(A69,'Change in Proportion Layers'!$A$8:$V$321,13,FALSE)</f>
        <v>-224515</v>
      </c>
      <c r="U69" s="246">
        <f>+O69+VLOOKUP(A69,'Change in Proportion Layers'!$A$8:$V$321,7,FALSE)-1</f>
        <v>-1094526</v>
      </c>
      <c r="W69" s="246">
        <f>('OPEB Amounts_Report'!G69-'OPEB Amounts_Report'!M69)</f>
        <v>-8728184</v>
      </c>
      <c r="X69" s="282">
        <f>SUM(Q69:U69)-('OPEB Amounts_Report'!G69-'OPEB Amounts_Report'!M69)</f>
        <v>0</v>
      </c>
    </row>
    <row r="70" spans="1:24" s="8" customFormat="1">
      <c r="A70" s="235">
        <v>2630</v>
      </c>
      <c r="B70" s="236" t="s">
        <v>60</v>
      </c>
      <c r="C70" s="245">
        <f t="shared" si="0"/>
        <v>-2528388</v>
      </c>
      <c r="D70" s="245">
        <f t="shared" si="1"/>
        <v>-1648628</v>
      </c>
      <c r="E70" s="245">
        <f t="shared" si="2"/>
        <v>-1182314</v>
      </c>
      <c r="F70" s="245">
        <f t="shared" si="3"/>
        <v>-542419</v>
      </c>
      <c r="G70" s="245">
        <f t="shared" si="4"/>
        <v>-903016</v>
      </c>
      <c r="I70" s="51"/>
      <c r="K70" s="156">
        <f>ROUND(VLOOKUP($A70,'Contribution Allocation_Report'!$A$9:$D$310,4,FALSE)*$K$323,0)</f>
        <v>-2555824</v>
      </c>
      <c r="L70" s="156">
        <f>ROUND(VLOOKUP($A70,'Contribution Allocation_Report'!$A$9:$D$310,4,FALSE)*$L$323,0)</f>
        <v>-1608395</v>
      </c>
      <c r="M70" s="156">
        <f>ROUND(VLOOKUP($A70,'Contribution Allocation_Report'!$A$9:$D$310,4,FALSE)*$M$323,0)</f>
        <v>-913861</v>
      </c>
      <c r="N70" s="156">
        <f>ROUND(VLOOKUP($A70,'Contribution Allocation_Report'!$A$9:$D$310,4,FALSE)*$N$323,0)</f>
        <v>-181719</v>
      </c>
      <c r="O70" s="246">
        <f>ROUND(VLOOKUP($A70,'Contribution Allocation_Report'!$A$9:$D$310,4,FALSE)*$O$323,0)</f>
        <v>-747369</v>
      </c>
      <c r="Q70" s="246">
        <f>+K70+VLOOKUP(A70,'Change in Proportion Layers'!$A$8:$I$321,3,FALSE)+VLOOKUP(A70,'Change in Proportion Layers'!$A$8:$V$321,10,FALSE)+VLOOKUP(A70,'Change in Proportion Layers'!$A$8:$V$321,16,FALSE)+VLOOKUP(A70,'Change in Proportion Layers'!$A$8:$V$321,21,FALSE)</f>
        <v>-2528388</v>
      </c>
      <c r="R70" s="246">
        <f>+L70+VLOOKUP(A70,'Change in Proportion Layers'!$A$8:$V$321,4,FALSE)+VLOOKUP(A70,'Change in Proportion Layers'!$A$8:$V$321,11,FALSE)+VLOOKUP(A70,'Change in Proportion Layers'!$A$8:$V$321,17,FALSE)+VLOOKUP(A70,'Change in Proportion Layers'!$A$8:$V$321,22,FALSE)</f>
        <v>-1648628</v>
      </c>
      <c r="S70" s="246">
        <f>+M70+VLOOKUP(A70,'Change in Proportion Layers'!$A$8:$V$321,5,FALSE)+VLOOKUP(A70,'Change in Proportion Layers'!$A$8:$V$321,12,FALSE)+VLOOKUP(A70,'Change in Proportion Layers'!$A$8:$V$321,18,FALSE)</f>
        <v>-1182314</v>
      </c>
      <c r="T70" s="246">
        <f>+N70+VLOOKUP(A70,'Change in Proportion Layers'!$A$8:$V$321,6,FALSE)+VLOOKUP(A70,'Change in Proportion Layers'!$A$8:$V$321,13,FALSE)</f>
        <v>-542419</v>
      </c>
      <c r="U70" s="246">
        <f>+O70+VLOOKUP(A70,'Change in Proportion Layers'!$A$8:$V$321,7,FALSE)-1</f>
        <v>-903016</v>
      </c>
      <c r="W70" s="246">
        <f>('OPEB Amounts_Report'!G70-'OPEB Amounts_Report'!M70)</f>
        <v>-6804765</v>
      </c>
      <c r="X70" s="282">
        <f>SUM(Q70:U70)-('OPEB Amounts_Report'!G70-'OPEB Amounts_Report'!M70)</f>
        <v>0</v>
      </c>
    </row>
    <row r="71" spans="1:24" s="8" customFormat="1">
      <c r="A71" s="237">
        <v>2690</v>
      </c>
      <c r="B71" s="238" t="s">
        <v>61</v>
      </c>
      <c r="C71" s="48">
        <f t="shared" si="0"/>
        <v>-8162666</v>
      </c>
      <c r="D71" s="48">
        <f t="shared" si="1"/>
        <v>-5988753</v>
      </c>
      <c r="E71" s="48">
        <f t="shared" si="2"/>
        <v>-4494575</v>
      </c>
      <c r="F71" s="48">
        <f t="shared" si="3"/>
        <v>-2185061</v>
      </c>
      <c r="G71" s="48">
        <f t="shared" si="4"/>
        <v>-2835486</v>
      </c>
      <c r="I71" s="51"/>
      <c r="K71" s="156">
        <f>ROUND(VLOOKUP($A71,'Contribution Allocation_Report'!$A$9:$D$310,4,FALSE)*$K$323,0)</f>
        <v>-6392630</v>
      </c>
      <c r="L71" s="156">
        <f>ROUND(VLOOKUP($A71,'Contribution Allocation_Report'!$A$9:$D$310,4,FALSE)*$L$323,0)</f>
        <v>-4022921</v>
      </c>
      <c r="M71" s="156">
        <f>ROUND(VLOOKUP($A71,'Contribution Allocation_Report'!$A$9:$D$310,4,FALSE)*$M$323,0)</f>
        <v>-2285750</v>
      </c>
      <c r="N71" s="156">
        <f>ROUND(VLOOKUP($A71,'Contribution Allocation_Report'!$A$9:$D$310,4,FALSE)*$N$323,0)</f>
        <v>-454516</v>
      </c>
      <c r="O71" s="246">
        <f>ROUND(VLOOKUP($A71,'Contribution Allocation_Report'!$A$9:$D$310,4,FALSE)*$O$323,0)</f>
        <v>-1869321</v>
      </c>
      <c r="Q71" s="246">
        <f>+K71+VLOOKUP(A71,'Change in Proportion Layers'!$A$8:$I$321,3,FALSE)+VLOOKUP(A71,'Change in Proportion Layers'!$A$8:$V$321,10,FALSE)+VLOOKUP(A71,'Change in Proportion Layers'!$A$8:$V$321,16,FALSE)+VLOOKUP(A71,'Change in Proportion Layers'!$A$8:$V$321,21,FALSE)</f>
        <v>-8162666</v>
      </c>
      <c r="R71" s="246">
        <f>+L71+VLOOKUP(A71,'Change in Proportion Layers'!$A$8:$V$321,4,FALSE)+VLOOKUP(A71,'Change in Proportion Layers'!$A$8:$V$321,11,FALSE)+VLOOKUP(A71,'Change in Proportion Layers'!$A$8:$V$321,17,FALSE)+VLOOKUP(A71,'Change in Proportion Layers'!$A$8:$V$321,22,FALSE)</f>
        <v>-5988753</v>
      </c>
      <c r="S71" s="246">
        <f>+M71+VLOOKUP(A71,'Change in Proportion Layers'!$A$8:$V$321,5,FALSE)+VLOOKUP(A71,'Change in Proportion Layers'!$A$8:$V$321,12,FALSE)+VLOOKUP(A71,'Change in Proportion Layers'!$A$8:$V$321,18,FALSE)</f>
        <v>-4494575</v>
      </c>
      <c r="T71" s="246">
        <f>+N71+VLOOKUP(A71,'Change in Proportion Layers'!$A$8:$V$321,6,FALSE)+VLOOKUP(A71,'Change in Proportion Layers'!$A$8:$V$321,13,FALSE)</f>
        <v>-2185061</v>
      </c>
      <c r="U71" s="246">
        <f>+O71+VLOOKUP(A71,'Change in Proportion Layers'!$A$8:$V$321,7,FALSE)</f>
        <v>-2835486</v>
      </c>
      <c r="W71" s="246">
        <f>('OPEB Amounts_Report'!G71-'OPEB Amounts_Report'!M71)</f>
        <v>-23666541</v>
      </c>
      <c r="X71" s="282">
        <f>SUM(Q71:U71)-('OPEB Amounts_Report'!G71-'OPEB Amounts_Report'!M71)</f>
        <v>0</v>
      </c>
    </row>
    <row r="72" spans="1:24" s="8" customFormat="1">
      <c r="A72" s="235">
        <v>2710</v>
      </c>
      <c r="B72" s="236" t="s">
        <v>62</v>
      </c>
      <c r="C72" s="245">
        <f t="shared" si="0"/>
        <v>-206231</v>
      </c>
      <c r="D72" s="245">
        <f t="shared" si="1"/>
        <v>-166392</v>
      </c>
      <c r="E72" s="245">
        <f t="shared" si="2"/>
        <v>-130995</v>
      </c>
      <c r="F72" s="245">
        <f t="shared" si="3"/>
        <v>-77736</v>
      </c>
      <c r="G72" s="245">
        <f t="shared" si="4"/>
        <v>-58805</v>
      </c>
      <c r="I72" s="51"/>
      <c r="K72" s="156">
        <f>ROUND(VLOOKUP($A72,'Contribution Allocation_Report'!$A$9:$D$310,4,FALSE)*$K$323,0)</f>
        <v>-114518</v>
      </c>
      <c r="L72" s="156">
        <f>ROUND(VLOOKUP($A72,'Contribution Allocation_Report'!$A$9:$D$310,4,FALSE)*$L$323,0)</f>
        <v>-72067</v>
      </c>
      <c r="M72" s="156">
        <f>ROUND(VLOOKUP($A72,'Contribution Allocation_Report'!$A$9:$D$310,4,FALSE)*$M$323,0)</f>
        <v>-40947</v>
      </c>
      <c r="N72" s="156">
        <f>ROUND(VLOOKUP($A72,'Contribution Allocation_Report'!$A$9:$D$310,4,FALSE)*$N$323,0)</f>
        <v>-8142</v>
      </c>
      <c r="O72" s="246">
        <f>ROUND(VLOOKUP($A72,'Contribution Allocation_Report'!$A$9:$D$310,4,FALSE)*$O$323,0)</f>
        <v>-33487</v>
      </c>
      <c r="Q72" s="246">
        <f>+K72+VLOOKUP(A72,'Change in Proportion Layers'!$A$8:$I$321,3,FALSE)+VLOOKUP(A72,'Change in Proportion Layers'!$A$8:$V$321,10,FALSE)+VLOOKUP(A72,'Change in Proportion Layers'!$A$8:$V$321,16,FALSE)+VLOOKUP(A72,'Change in Proportion Layers'!$A$8:$V$321,21,FALSE)</f>
        <v>-206231</v>
      </c>
      <c r="R72" s="246">
        <f>+L72+VLOOKUP(A72,'Change in Proportion Layers'!$A$8:$V$321,4,FALSE)+VLOOKUP(A72,'Change in Proportion Layers'!$A$8:$V$321,11,FALSE)+VLOOKUP(A72,'Change in Proportion Layers'!$A$8:$V$321,17,FALSE)+VLOOKUP(A72,'Change in Proportion Layers'!$A$8:$V$321,22,FALSE)</f>
        <v>-166392</v>
      </c>
      <c r="S72" s="246">
        <f>+M72+VLOOKUP(A72,'Change in Proportion Layers'!$A$8:$V$321,5,FALSE)+VLOOKUP(A72,'Change in Proportion Layers'!$A$8:$V$321,12,FALSE)+VLOOKUP(A72,'Change in Proportion Layers'!$A$8:$V$321,18,FALSE)</f>
        <v>-130995</v>
      </c>
      <c r="T72" s="246">
        <f>+N72+VLOOKUP(A72,'Change in Proportion Layers'!$A$8:$V$321,6,FALSE)+VLOOKUP(A72,'Change in Proportion Layers'!$A$8:$V$321,13,FALSE)</f>
        <v>-77736</v>
      </c>
      <c r="U72" s="246">
        <f>+O72+VLOOKUP(A72,'Change in Proportion Layers'!$A$8:$V$321,7,FALSE)-1</f>
        <v>-58805</v>
      </c>
      <c r="W72" s="246">
        <f>('OPEB Amounts_Report'!G72-'OPEB Amounts_Report'!M72)</f>
        <v>-640159</v>
      </c>
      <c r="X72" s="282">
        <f>SUM(Q72:U72)-('OPEB Amounts_Report'!G72-'OPEB Amounts_Report'!M72)</f>
        <v>0</v>
      </c>
    </row>
    <row r="73" spans="1:24" s="8" customFormat="1">
      <c r="A73" s="237">
        <v>2730</v>
      </c>
      <c r="B73" s="238" t="s">
        <v>63</v>
      </c>
      <c r="C73" s="48">
        <f t="shared" si="0"/>
        <v>-577694</v>
      </c>
      <c r="D73" s="48">
        <f t="shared" si="1"/>
        <v>-398571</v>
      </c>
      <c r="E73" s="48">
        <f t="shared" si="2"/>
        <v>-237439</v>
      </c>
      <c r="F73" s="48">
        <f t="shared" si="3"/>
        <v>-62442</v>
      </c>
      <c r="G73" s="48">
        <f t="shared" si="4"/>
        <v>-115502</v>
      </c>
      <c r="I73" s="51"/>
      <c r="K73" s="156">
        <f>ROUND(VLOOKUP($A73,'Contribution Allocation_Report'!$A$9:$D$310,4,FALSE)*$K$323,0)</f>
        <v>-471526</v>
      </c>
      <c r="L73" s="156">
        <f>ROUND(VLOOKUP($A73,'Contribution Allocation_Report'!$A$9:$D$310,4,FALSE)*$L$323,0)</f>
        <v>-296734</v>
      </c>
      <c r="M73" s="156">
        <f>ROUND(VLOOKUP($A73,'Contribution Allocation_Report'!$A$9:$D$310,4,FALSE)*$M$323,0)</f>
        <v>-168599</v>
      </c>
      <c r="N73" s="156">
        <f>ROUND(VLOOKUP($A73,'Contribution Allocation_Report'!$A$9:$D$310,4,FALSE)*$N$323,0)</f>
        <v>-33526</v>
      </c>
      <c r="O73" s="246">
        <f>ROUND(VLOOKUP($A73,'Contribution Allocation_Report'!$A$9:$D$310,4,FALSE)*$O$323,0)</f>
        <v>-137883</v>
      </c>
      <c r="Q73" s="246">
        <f>+K73+VLOOKUP(A73,'Change in Proportion Layers'!$A$8:$I$321,3,FALSE)+VLOOKUP(A73,'Change in Proportion Layers'!$A$8:$V$321,10,FALSE)+VLOOKUP(A73,'Change in Proportion Layers'!$A$8:$V$321,16,FALSE)+VLOOKUP(A73,'Change in Proportion Layers'!$A$8:$V$321,21,FALSE)</f>
        <v>-577694</v>
      </c>
      <c r="R73" s="246">
        <f>+L73+VLOOKUP(A73,'Change in Proportion Layers'!$A$8:$V$321,4,FALSE)+VLOOKUP(A73,'Change in Proportion Layers'!$A$8:$V$321,11,FALSE)+VLOOKUP(A73,'Change in Proportion Layers'!$A$8:$V$321,17,FALSE)+VLOOKUP(A73,'Change in Proportion Layers'!$A$8:$V$321,22,FALSE)</f>
        <v>-398571</v>
      </c>
      <c r="S73" s="246">
        <f>+M73+VLOOKUP(A73,'Change in Proportion Layers'!$A$8:$V$321,5,FALSE)+VLOOKUP(A73,'Change in Proportion Layers'!$A$8:$V$321,12,FALSE)+VLOOKUP(A73,'Change in Proportion Layers'!$A$8:$V$321,18,FALSE)</f>
        <v>-237439</v>
      </c>
      <c r="T73" s="246">
        <f>+N73+VLOOKUP(A73,'Change in Proportion Layers'!$A$8:$V$321,6,FALSE)+VLOOKUP(A73,'Change in Proportion Layers'!$A$8:$V$321,13,FALSE)</f>
        <v>-62442</v>
      </c>
      <c r="U73" s="246">
        <f>+O73+VLOOKUP(A73,'Change in Proportion Layers'!$A$8:$V$321,7,FALSE)-1</f>
        <v>-115502</v>
      </c>
      <c r="W73" s="246">
        <f>('OPEB Amounts_Report'!G73-'OPEB Amounts_Report'!M73)</f>
        <v>-1391648</v>
      </c>
      <c r="X73" s="282">
        <f>SUM(Q73:U73)-('OPEB Amounts_Report'!G73-'OPEB Amounts_Report'!M73)</f>
        <v>0</v>
      </c>
    </row>
    <row r="74" spans="1:24" s="8" customFormat="1">
      <c r="A74" s="235">
        <v>2950</v>
      </c>
      <c r="B74" s="236" t="s">
        <v>64</v>
      </c>
      <c r="C74" s="245">
        <f t="shared" si="0"/>
        <v>-276185</v>
      </c>
      <c r="D74" s="245">
        <f t="shared" si="1"/>
        <v>-170391</v>
      </c>
      <c r="E74" s="245">
        <f t="shared" si="2"/>
        <v>-178376</v>
      </c>
      <c r="F74" s="245">
        <f t="shared" si="3"/>
        <v>-76485</v>
      </c>
      <c r="G74" s="245">
        <f t="shared" si="4"/>
        <v>-90426</v>
      </c>
      <c r="I74" s="51"/>
      <c r="K74" s="156">
        <f>ROUND(VLOOKUP($A74,'Contribution Allocation_Report'!$A$9:$D$310,4,FALSE)*$K$323,0)</f>
        <v>-399337</v>
      </c>
      <c r="L74" s="156">
        <f>ROUND(VLOOKUP($A74,'Contribution Allocation_Report'!$A$9:$D$310,4,FALSE)*$L$323,0)</f>
        <v>-251305</v>
      </c>
      <c r="M74" s="156">
        <f>ROUND(VLOOKUP($A74,'Contribution Allocation_Report'!$A$9:$D$310,4,FALSE)*$M$323,0)</f>
        <v>-142787</v>
      </c>
      <c r="N74" s="156">
        <f>ROUND(VLOOKUP($A74,'Contribution Allocation_Report'!$A$9:$D$310,4,FALSE)*$N$323,0)</f>
        <v>-28393</v>
      </c>
      <c r="O74" s="246">
        <f>ROUND(VLOOKUP($A74,'Contribution Allocation_Report'!$A$9:$D$310,4,FALSE)*$O$323,0)</f>
        <v>-116773</v>
      </c>
      <c r="Q74" s="246">
        <f>+K74+VLOOKUP(A74,'Change in Proportion Layers'!$A$8:$I$321,3,FALSE)+VLOOKUP(A74,'Change in Proportion Layers'!$A$8:$V$321,10,FALSE)+VLOOKUP(A74,'Change in Proportion Layers'!$A$8:$V$321,16,FALSE)+VLOOKUP(A74,'Change in Proportion Layers'!$A$8:$V$321,21,FALSE)</f>
        <v>-276185</v>
      </c>
      <c r="R74" s="246">
        <f>+L74+VLOOKUP(A74,'Change in Proportion Layers'!$A$8:$V$321,4,FALSE)+VLOOKUP(A74,'Change in Proportion Layers'!$A$8:$V$321,11,FALSE)+VLOOKUP(A74,'Change in Proportion Layers'!$A$8:$V$321,17,FALSE)+VLOOKUP(A74,'Change in Proportion Layers'!$A$8:$V$321,22,FALSE)</f>
        <v>-170391</v>
      </c>
      <c r="S74" s="246">
        <f>+M74+VLOOKUP(A74,'Change in Proportion Layers'!$A$8:$V$321,5,FALSE)+VLOOKUP(A74,'Change in Proportion Layers'!$A$8:$V$321,12,FALSE)+VLOOKUP(A74,'Change in Proportion Layers'!$A$8:$V$321,18,FALSE)</f>
        <v>-178376</v>
      </c>
      <c r="T74" s="246">
        <f>+N74+VLOOKUP(A74,'Change in Proportion Layers'!$A$8:$V$321,6,FALSE)+VLOOKUP(A74,'Change in Proportion Layers'!$A$8:$V$321,13,FALSE)</f>
        <v>-76485</v>
      </c>
      <c r="U74" s="246">
        <f>+O74+VLOOKUP(A74,'Change in Proportion Layers'!$A$8:$V$321,7,FALSE)-2</f>
        <v>-90426</v>
      </c>
      <c r="W74" s="246">
        <f>('OPEB Amounts_Report'!G74-'OPEB Amounts_Report'!M74)</f>
        <v>-791863</v>
      </c>
      <c r="X74" s="282">
        <f>SUM(Q74:U74)-('OPEB Amounts_Report'!G74-'OPEB Amounts_Report'!M74)</f>
        <v>0</v>
      </c>
    </row>
    <row r="75" spans="1:24" s="8" customFormat="1">
      <c r="A75" s="237">
        <v>2760</v>
      </c>
      <c r="B75" s="238" t="s">
        <v>65</v>
      </c>
      <c r="C75" s="48">
        <f t="shared" si="0"/>
        <v>-364238</v>
      </c>
      <c r="D75" s="48">
        <f t="shared" si="1"/>
        <v>-226865</v>
      </c>
      <c r="E75" s="48">
        <f t="shared" si="2"/>
        <v>-114274</v>
      </c>
      <c r="F75" s="48">
        <f t="shared" si="3"/>
        <v>26502</v>
      </c>
      <c r="G75" s="48">
        <f t="shared" si="4"/>
        <v>-66108</v>
      </c>
      <c r="I75" s="51"/>
      <c r="K75" s="156">
        <f>ROUND(VLOOKUP($A75,'Contribution Allocation_Report'!$A$9:$D$310,4,FALSE)*$K$323,0)</f>
        <v>-379696</v>
      </c>
      <c r="L75" s="156">
        <f>ROUND(VLOOKUP($A75,'Contribution Allocation_Report'!$A$9:$D$310,4,FALSE)*$L$323,0)</f>
        <v>-238945</v>
      </c>
      <c r="M75" s="156">
        <f>ROUND(VLOOKUP($A75,'Contribution Allocation_Report'!$A$9:$D$310,4,FALSE)*$M$323,0)</f>
        <v>-135764</v>
      </c>
      <c r="N75" s="156">
        <f>ROUND(VLOOKUP($A75,'Contribution Allocation_Report'!$A$9:$D$310,4,FALSE)*$N$323,0)</f>
        <v>-26996</v>
      </c>
      <c r="O75" s="246">
        <f>ROUND(VLOOKUP($A75,'Contribution Allocation_Report'!$A$9:$D$310,4,FALSE)*$O$323,0)</f>
        <v>-111030</v>
      </c>
      <c r="Q75" s="246">
        <f>+K75+VLOOKUP(A75,'Change in Proportion Layers'!$A$8:$I$321,3,FALSE)+VLOOKUP(A75,'Change in Proportion Layers'!$A$8:$V$321,10,FALSE)+VLOOKUP(A75,'Change in Proportion Layers'!$A$8:$V$321,16,FALSE)+VLOOKUP(A75,'Change in Proportion Layers'!$A$8:$V$321,21,FALSE)</f>
        <v>-364238</v>
      </c>
      <c r="R75" s="246">
        <f>+L75+VLOOKUP(A75,'Change in Proportion Layers'!$A$8:$V$321,4,FALSE)+VLOOKUP(A75,'Change in Proportion Layers'!$A$8:$V$321,11,FALSE)+VLOOKUP(A75,'Change in Proportion Layers'!$A$8:$V$321,17,FALSE)+VLOOKUP(A75,'Change in Proportion Layers'!$A$8:$V$321,22,FALSE)</f>
        <v>-226865</v>
      </c>
      <c r="S75" s="246">
        <f>+M75+VLOOKUP(A75,'Change in Proportion Layers'!$A$8:$V$321,5,FALSE)+VLOOKUP(A75,'Change in Proportion Layers'!$A$8:$V$321,12,FALSE)+VLOOKUP(A75,'Change in Proportion Layers'!$A$8:$V$321,18,FALSE)</f>
        <v>-114274</v>
      </c>
      <c r="T75" s="246">
        <f>+N75+VLOOKUP(A75,'Change in Proportion Layers'!$A$8:$V$321,6,FALSE)+VLOOKUP(A75,'Change in Proportion Layers'!$A$8:$V$321,13,FALSE)</f>
        <v>26502</v>
      </c>
      <c r="U75" s="246">
        <f>+O75+VLOOKUP(A75,'Change in Proportion Layers'!$A$8:$V$321,7,FALSE)-1</f>
        <v>-66108</v>
      </c>
      <c r="W75" s="246">
        <f>('OPEB Amounts_Report'!G75-'OPEB Amounts_Report'!M75)</f>
        <v>-744983</v>
      </c>
      <c r="X75" s="282">
        <f>SUM(Q75:U75)-('OPEB Amounts_Report'!G75-'OPEB Amounts_Report'!M75)</f>
        <v>0</v>
      </c>
    </row>
    <row r="76" spans="1:24" s="8" customFormat="1">
      <c r="A76" s="235">
        <v>2780</v>
      </c>
      <c r="B76" s="236" t="s">
        <v>66</v>
      </c>
      <c r="C76" s="245">
        <f t="shared" ref="C76:C139" si="10">+Q76</f>
        <v>-33882</v>
      </c>
      <c r="D76" s="245">
        <f t="shared" ref="D76:D139" si="11">+R76</f>
        <v>-21410</v>
      </c>
      <c r="E76" s="245">
        <f t="shared" ref="E76:E139" si="12">+S76</f>
        <v>-14840</v>
      </c>
      <c r="F76" s="245">
        <f t="shared" ref="F76:F139" si="13">+T76</f>
        <v>-8924</v>
      </c>
      <c r="G76" s="245">
        <f t="shared" ref="G76:G139" si="14">+U76</f>
        <v>-7268</v>
      </c>
      <c r="I76" s="51"/>
      <c r="K76" s="156">
        <f>ROUND(VLOOKUP($A76,'Contribution Allocation_Report'!$A$9:$D$310,4,FALSE)*$K$323,0)</f>
        <v>-34079</v>
      </c>
      <c r="L76" s="156">
        <f>ROUND(VLOOKUP($A76,'Contribution Allocation_Report'!$A$9:$D$310,4,FALSE)*$L$323,0)</f>
        <v>-21446</v>
      </c>
      <c r="M76" s="156">
        <f>ROUND(VLOOKUP($A76,'Contribution Allocation_Report'!$A$9:$D$310,4,FALSE)*$M$323,0)</f>
        <v>-12185</v>
      </c>
      <c r="N76" s="156">
        <f>ROUND(VLOOKUP($A76,'Contribution Allocation_Report'!$A$9:$D$310,4,FALSE)*$N$323,0)</f>
        <v>-2423</v>
      </c>
      <c r="O76" s="246">
        <f>ROUND(VLOOKUP($A76,'Contribution Allocation_Report'!$A$9:$D$310,4,FALSE)*$O$323,0)</f>
        <v>-9965</v>
      </c>
      <c r="Q76" s="246">
        <f>+K76+VLOOKUP(A76,'Change in Proportion Layers'!$A$8:$I$321,3,FALSE)+VLOOKUP(A76,'Change in Proportion Layers'!$A$8:$V$321,10,FALSE)+VLOOKUP(A76,'Change in Proportion Layers'!$A$8:$V$321,16,FALSE)+VLOOKUP(A76,'Change in Proportion Layers'!$A$8:$V$321,21,FALSE)</f>
        <v>-33882</v>
      </c>
      <c r="R76" s="246">
        <f>+L76+VLOOKUP(A76,'Change in Proportion Layers'!$A$8:$V$321,4,FALSE)+VLOOKUP(A76,'Change in Proportion Layers'!$A$8:$V$321,11,FALSE)+VLOOKUP(A76,'Change in Proportion Layers'!$A$8:$V$321,17,FALSE)+VLOOKUP(A76,'Change in Proportion Layers'!$A$8:$V$321,22,FALSE)</f>
        <v>-21410</v>
      </c>
      <c r="S76" s="246">
        <f>+M76+VLOOKUP(A76,'Change in Proportion Layers'!$A$8:$V$321,5,FALSE)+VLOOKUP(A76,'Change in Proportion Layers'!$A$8:$V$321,12,FALSE)+VLOOKUP(A76,'Change in Proportion Layers'!$A$8:$V$321,18,FALSE)</f>
        <v>-14840</v>
      </c>
      <c r="T76" s="246">
        <f>+N76+VLOOKUP(A76,'Change in Proportion Layers'!$A$8:$V$321,6,FALSE)+VLOOKUP(A76,'Change in Proportion Layers'!$A$8:$V$321,13,FALSE)</f>
        <v>-8924</v>
      </c>
      <c r="U76" s="246">
        <f>+O76+VLOOKUP(A76,'Change in Proportion Layers'!$A$8:$V$321,7,FALSE)</f>
        <v>-7268</v>
      </c>
      <c r="W76" s="246">
        <f>('OPEB Amounts_Report'!G76-'OPEB Amounts_Report'!M76)</f>
        <v>-86324</v>
      </c>
      <c r="X76" s="282">
        <f>SUM(Q76:U76)-('OPEB Amounts_Report'!G76-'OPEB Amounts_Report'!M76)</f>
        <v>0</v>
      </c>
    </row>
    <row r="77" spans="1:24" s="8" customFormat="1">
      <c r="A77" s="237">
        <v>2810</v>
      </c>
      <c r="B77" s="238" t="s">
        <v>67</v>
      </c>
      <c r="C77" s="48">
        <f t="shared" si="10"/>
        <v>-437499</v>
      </c>
      <c r="D77" s="48">
        <f t="shared" si="11"/>
        <v>-378016</v>
      </c>
      <c r="E77" s="48">
        <f t="shared" si="12"/>
        <v>-357594</v>
      </c>
      <c r="F77" s="48">
        <f t="shared" si="13"/>
        <v>-192323</v>
      </c>
      <c r="G77" s="48">
        <f t="shared" si="14"/>
        <v>-207304</v>
      </c>
      <c r="I77" s="51"/>
      <c r="K77" s="156">
        <f>ROUND(VLOOKUP($A77,'Contribution Allocation_Report'!$A$9:$D$310,4,FALSE)*$K$323,0)</f>
        <v>-267053</v>
      </c>
      <c r="L77" s="156">
        <f>ROUND(VLOOKUP($A77,'Contribution Allocation_Report'!$A$9:$D$310,4,FALSE)*$L$323,0)</f>
        <v>-168058</v>
      </c>
      <c r="M77" s="156">
        <f>ROUND(VLOOKUP($A77,'Contribution Allocation_Report'!$A$9:$D$310,4,FALSE)*$M$323,0)</f>
        <v>-95488</v>
      </c>
      <c r="N77" s="156">
        <f>ROUND(VLOOKUP($A77,'Contribution Allocation_Report'!$A$9:$D$310,4,FALSE)*$N$323,0)</f>
        <v>-18987</v>
      </c>
      <c r="O77" s="246">
        <f>ROUND(VLOOKUP($A77,'Contribution Allocation_Report'!$A$9:$D$310,4,FALSE)*$O$323,0)</f>
        <v>-78091</v>
      </c>
      <c r="Q77" s="246">
        <f>+K77+VLOOKUP(A77,'Change in Proportion Layers'!$A$8:$I$321,3,FALSE)+VLOOKUP(A77,'Change in Proportion Layers'!$A$8:$V$321,10,FALSE)+VLOOKUP(A77,'Change in Proportion Layers'!$A$8:$V$321,16,FALSE)+VLOOKUP(A77,'Change in Proportion Layers'!$A$8:$V$321,21,FALSE)</f>
        <v>-437499</v>
      </c>
      <c r="R77" s="246">
        <f>+L77+VLOOKUP(A77,'Change in Proportion Layers'!$A$8:$V$321,4,FALSE)+VLOOKUP(A77,'Change in Proportion Layers'!$A$8:$V$321,11,FALSE)+VLOOKUP(A77,'Change in Proportion Layers'!$A$8:$V$321,17,FALSE)+VLOOKUP(A77,'Change in Proportion Layers'!$A$8:$V$321,22,FALSE)</f>
        <v>-378016</v>
      </c>
      <c r="S77" s="246">
        <f>+M77+VLOOKUP(A77,'Change in Proportion Layers'!$A$8:$V$321,5,FALSE)+VLOOKUP(A77,'Change in Proportion Layers'!$A$8:$V$321,12,FALSE)+VLOOKUP(A77,'Change in Proportion Layers'!$A$8:$V$321,18,FALSE)</f>
        <v>-357594</v>
      </c>
      <c r="T77" s="246">
        <f>+N77+VLOOKUP(A77,'Change in Proportion Layers'!$A$8:$V$321,6,FALSE)+VLOOKUP(A77,'Change in Proportion Layers'!$A$8:$V$321,13,FALSE)</f>
        <v>-192323</v>
      </c>
      <c r="U77" s="246">
        <f>+O77+VLOOKUP(A77,'Change in Proportion Layers'!$A$8:$V$321,7,FALSE)</f>
        <v>-207304</v>
      </c>
      <c r="W77" s="246">
        <f>('OPEB Amounts_Report'!G77-'OPEB Amounts_Report'!M77)</f>
        <v>-1572736</v>
      </c>
      <c r="X77" s="282">
        <f>SUM(Q77:U77)-('OPEB Amounts_Report'!G77-'OPEB Amounts_Report'!M77)</f>
        <v>0</v>
      </c>
    </row>
    <row r="78" spans="1:24" s="8" customFormat="1">
      <c r="A78" s="235">
        <v>18056</v>
      </c>
      <c r="B78" s="236" t="s">
        <v>68</v>
      </c>
      <c r="C78" s="245">
        <f t="shared" si="10"/>
        <v>-209231</v>
      </c>
      <c r="D78" s="245">
        <f t="shared" si="11"/>
        <v>-139143</v>
      </c>
      <c r="E78" s="245">
        <f t="shared" si="12"/>
        <v>-155322</v>
      </c>
      <c r="F78" s="245">
        <f t="shared" si="13"/>
        <v>-30821</v>
      </c>
      <c r="G78" s="245">
        <f t="shared" si="14"/>
        <v>-155153</v>
      </c>
      <c r="I78" s="51"/>
      <c r="K78" s="156">
        <f>ROUND(VLOOKUP($A78,'Contribution Allocation_Report'!$A$9:$D$310,4,FALSE)*$K$323,0)</f>
        <v>-316976</v>
      </c>
      <c r="L78" s="156">
        <f>ROUND(VLOOKUP($A78,'Contribution Allocation_Report'!$A$9:$D$310,4,FALSE)*$L$323,0)</f>
        <v>-199475</v>
      </c>
      <c r="M78" s="156">
        <f>ROUND(VLOOKUP($A78,'Contribution Allocation_Report'!$A$9:$D$310,4,FALSE)*$M$323,0)</f>
        <v>-113338</v>
      </c>
      <c r="N78" s="156">
        <f>ROUND(VLOOKUP($A78,'Contribution Allocation_Report'!$A$9:$D$310,4,FALSE)*$N$323,0)</f>
        <v>-22537</v>
      </c>
      <c r="O78" s="246">
        <f>ROUND(VLOOKUP($A78,'Contribution Allocation_Report'!$A$9:$D$310,4,FALSE)*$O$323,0)</f>
        <v>-92690</v>
      </c>
      <c r="Q78" s="246">
        <f>+K78+VLOOKUP(A78,'Change in Proportion Layers'!$A$8:$I$321,3,FALSE)+VLOOKUP(A78,'Change in Proportion Layers'!$A$8:$V$321,10,FALSE)+VLOOKUP(A78,'Change in Proportion Layers'!$A$8:$V$321,16,FALSE)+VLOOKUP(A78,'Change in Proportion Layers'!$A$8:$V$321,21,FALSE)</f>
        <v>-209231</v>
      </c>
      <c r="R78" s="246">
        <f>+L78+VLOOKUP(A78,'Change in Proportion Layers'!$A$8:$V$321,4,FALSE)+VLOOKUP(A78,'Change in Proportion Layers'!$A$8:$V$321,11,FALSE)+VLOOKUP(A78,'Change in Proportion Layers'!$A$8:$V$321,17,FALSE)+VLOOKUP(A78,'Change in Proportion Layers'!$A$8:$V$321,22,FALSE)</f>
        <v>-139143</v>
      </c>
      <c r="S78" s="246">
        <f>+M78+VLOOKUP(A78,'Change in Proportion Layers'!$A$8:$V$321,5,FALSE)+VLOOKUP(A78,'Change in Proportion Layers'!$A$8:$V$321,12,FALSE)+VLOOKUP(A78,'Change in Proportion Layers'!$A$8:$V$321,18,FALSE)</f>
        <v>-155322</v>
      </c>
      <c r="T78" s="246">
        <f>+N78+VLOOKUP(A78,'Change in Proportion Layers'!$A$8:$V$321,6,FALSE)+VLOOKUP(A78,'Change in Proportion Layers'!$A$8:$V$321,13,FALSE)</f>
        <v>-30821</v>
      </c>
      <c r="U78" s="246">
        <f>+O78+VLOOKUP(A78,'Change in Proportion Layers'!$A$8:$V$321,7,FALSE)-1</f>
        <v>-155153</v>
      </c>
      <c r="W78" s="246">
        <f>('OPEB Amounts_Report'!G78-'OPEB Amounts_Report'!M78)</f>
        <v>-689670</v>
      </c>
      <c r="X78" s="282">
        <f>SUM(Q78:U78)-('OPEB Amounts_Report'!G78-'OPEB Amounts_Report'!M78)</f>
        <v>0</v>
      </c>
    </row>
    <row r="79" spans="1:24" s="8" customFormat="1">
      <c r="A79" s="237">
        <v>15047</v>
      </c>
      <c r="B79" s="238" t="s">
        <v>69</v>
      </c>
      <c r="C79" s="48">
        <f t="shared" si="10"/>
        <v>-209018</v>
      </c>
      <c r="D79" s="48">
        <f t="shared" si="11"/>
        <v>-105060</v>
      </c>
      <c r="E79" s="48">
        <f t="shared" si="12"/>
        <v>-22871</v>
      </c>
      <c r="F79" s="48">
        <f t="shared" si="13"/>
        <v>79565</v>
      </c>
      <c r="G79" s="48">
        <f t="shared" si="14"/>
        <v>-43442</v>
      </c>
      <c r="I79" s="51"/>
      <c r="K79" s="156">
        <f>ROUND(VLOOKUP($A79,'Contribution Allocation_Report'!$A$9:$D$310,4,FALSE)*$K$323,0)</f>
        <v>-288897</v>
      </c>
      <c r="L79" s="156">
        <f>ROUND(VLOOKUP($A79,'Contribution Allocation_Report'!$A$9:$D$310,4,FALSE)*$L$323,0)</f>
        <v>-181805</v>
      </c>
      <c r="M79" s="156">
        <f>ROUND(VLOOKUP($A79,'Contribution Allocation_Report'!$A$9:$D$310,4,FALSE)*$M$323,0)</f>
        <v>-103298</v>
      </c>
      <c r="N79" s="156">
        <f>ROUND(VLOOKUP($A79,'Contribution Allocation_Report'!$A$9:$D$310,4,FALSE)*$N$323,0)</f>
        <v>-20541</v>
      </c>
      <c r="O79" s="246">
        <f>ROUND(VLOOKUP($A79,'Contribution Allocation_Report'!$A$9:$D$310,4,FALSE)*$O$323,0)</f>
        <v>-84479</v>
      </c>
      <c r="Q79" s="246">
        <f>+K79+VLOOKUP(A79,'Change in Proportion Layers'!$A$8:$I$321,3,FALSE)+VLOOKUP(A79,'Change in Proportion Layers'!$A$8:$V$321,10,FALSE)+VLOOKUP(A79,'Change in Proportion Layers'!$A$8:$V$321,16,FALSE)+VLOOKUP(A79,'Change in Proportion Layers'!$A$8:$V$321,21,FALSE)</f>
        <v>-209018</v>
      </c>
      <c r="R79" s="246">
        <f>+L79+VLOOKUP(A79,'Change in Proportion Layers'!$A$8:$V$321,4,FALSE)+VLOOKUP(A79,'Change in Proportion Layers'!$A$8:$V$321,11,FALSE)+VLOOKUP(A79,'Change in Proportion Layers'!$A$8:$V$321,17,FALSE)+VLOOKUP(A79,'Change in Proportion Layers'!$A$8:$V$321,22,FALSE)</f>
        <v>-105060</v>
      </c>
      <c r="S79" s="246">
        <f>+M79+VLOOKUP(A79,'Change in Proportion Layers'!$A$8:$V$321,5,FALSE)+VLOOKUP(A79,'Change in Proportion Layers'!$A$8:$V$321,12,FALSE)+VLOOKUP(A79,'Change in Proportion Layers'!$A$8:$V$321,18,FALSE)</f>
        <v>-22871</v>
      </c>
      <c r="T79" s="246">
        <f>+N79+VLOOKUP(A79,'Change in Proportion Layers'!$A$8:$V$321,6,FALSE)+VLOOKUP(A79,'Change in Proportion Layers'!$A$8:$V$321,13,FALSE)</f>
        <v>79565</v>
      </c>
      <c r="U79" s="246">
        <f>+O79+VLOOKUP(A79,'Change in Proportion Layers'!$A$8:$V$321,7,FALSE)+1</f>
        <v>-43442</v>
      </c>
      <c r="W79" s="246">
        <f>('OPEB Amounts_Report'!G79-'OPEB Amounts_Report'!M79)</f>
        <v>-300826</v>
      </c>
      <c r="X79" s="282">
        <f>SUM(Q79:U79)-('OPEB Amounts_Report'!G79-'OPEB Amounts_Report'!M79)</f>
        <v>0</v>
      </c>
    </row>
    <row r="80" spans="1:24" s="8" customFormat="1">
      <c r="A80" s="235">
        <v>5012</v>
      </c>
      <c r="B80" s="236" t="s">
        <v>70</v>
      </c>
      <c r="C80" s="49">
        <f t="shared" si="10"/>
        <v>-4170680</v>
      </c>
      <c r="D80" s="49">
        <f t="shared" si="11"/>
        <v>-2475411</v>
      </c>
      <c r="E80" s="49">
        <f t="shared" si="12"/>
        <v>-1317438</v>
      </c>
      <c r="F80" s="49">
        <f t="shared" si="13"/>
        <v>165123</v>
      </c>
      <c r="G80" s="49">
        <f t="shared" si="14"/>
        <v>-1094155</v>
      </c>
      <c r="I80" s="51"/>
      <c r="K80" s="156">
        <f>ROUND(VLOOKUP($A80,'Contribution Allocation_Report'!$A$9:$D$310,4,FALSE)*$K$323,0)</f>
        <v>-4791625</v>
      </c>
      <c r="L80" s="156">
        <f>ROUND(VLOOKUP($A80,'Contribution Allocation_Report'!$A$9:$D$310,4,FALSE)*$L$323,0)</f>
        <v>-3015398</v>
      </c>
      <c r="M80" s="156">
        <f>ROUND(VLOOKUP($A80,'Contribution Allocation_Report'!$A$9:$D$310,4,FALSE)*$M$323,0)</f>
        <v>-1713294</v>
      </c>
      <c r="N80" s="156">
        <f>ROUND(VLOOKUP($A80,'Contribution Allocation_Report'!$A$9:$D$310,4,FALSE)*$N$323,0)</f>
        <v>-340685</v>
      </c>
      <c r="O80" s="246">
        <f>ROUND(VLOOKUP($A80,'Contribution Allocation_Report'!$A$9:$D$310,4,FALSE)*$O$323,0)</f>
        <v>-1401158</v>
      </c>
      <c r="Q80" s="246">
        <f>+K80+VLOOKUP(A80,'Change in Proportion Layers'!$A$8:$I$321,3,FALSE)+VLOOKUP(A80,'Change in Proportion Layers'!$A$8:$V$321,10,FALSE)+VLOOKUP(A80,'Change in Proportion Layers'!$A$8:$V$321,16,FALSE)+VLOOKUP(A80,'Change in Proportion Layers'!$A$8:$V$321,21,FALSE)</f>
        <v>-4170680</v>
      </c>
      <c r="R80" s="246">
        <f>+L80+VLOOKUP(A80,'Change in Proportion Layers'!$A$8:$V$321,4,FALSE)+VLOOKUP(A80,'Change in Proportion Layers'!$A$8:$V$321,11,FALSE)+VLOOKUP(A80,'Change in Proportion Layers'!$A$8:$V$321,17,FALSE)+VLOOKUP(A80,'Change in Proportion Layers'!$A$8:$V$321,22,FALSE)</f>
        <v>-2475411</v>
      </c>
      <c r="S80" s="246">
        <f>+M80+VLOOKUP(A80,'Change in Proportion Layers'!$A$8:$V$321,5,FALSE)+VLOOKUP(A80,'Change in Proportion Layers'!$A$8:$V$321,12,FALSE)+VLOOKUP(A80,'Change in Proportion Layers'!$A$8:$V$321,18,FALSE)</f>
        <v>-1317438</v>
      </c>
      <c r="T80" s="246">
        <f>+N80+VLOOKUP(A80,'Change in Proportion Layers'!$A$8:$V$321,6,FALSE)+VLOOKUP(A80,'Change in Proportion Layers'!$A$8:$V$321,13,FALSE)</f>
        <v>165123</v>
      </c>
      <c r="U80" s="246">
        <f>+O80+VLOOKUP(A80,'Change in Proportion Layers'!$A$8:$V$321,7,FALSE)</f>
        <v>-1094155</v>
      </c>
      <c r="W80" s="246">
        <f>('OPEB Amounts_Report'!G80-'OPEB Amounts_Report'!M80)</f>
        <v>-8892561</v>
      </c>
      <c r="X80" s="282">
        <f>SUM(Q80:U80)-('OPEB Amounts_Report'!G80-'OPEB Amounts_Report'!M80)</f>
        <v>0</v>
      </c>
    </row>
    <row r="81" spans="1:24" s="8" customFormat="1">
      <c r="A81" s="237">
        <v>8024</v>
      </c>
      <c r="B81" s="238" t="s">
        <v>71</v>
      </c>
      <c r="C81" s="48">
        <f t="shared" si="10"/>
        <v>-721388</v>
      </c>
      <c r="D81" s="48">
        <f t="shared" si="11"/>
        <v>-374493</v>
      </c>
      <c r="E81" s="48">
        <f t="shared" si="12"/>
        <v>-308825</v>
      </c>
      <c r="F81" s="48">
        <f t="shared" si="13"/>
        <v>-256147</v>
      </c>
      <c r="G81" s="48">
        <f t="shared" si="14"/>
        <v>-334020</v>
      </c>
      <c r="I81" s="51"/>
      <c r="K81" s="156">
        <f>ROUND(VLOOKUP($A81,'Contribution Allocation_Report'!$A$9:$D$310,4,FALSE)*$K$323,0)</f>
        <v>-1013882</v>
      </c>
      <c r="L81" s="156">
        <f>ROUND(VLOOKUP($A81,'Contribution Allocation_Report'!$A$9:$D$310,4,FALSE)*$L$323,0)</f>
        <v>-638042</v>
      </c>
      <c r="M81" s="156">
        <f>ROUND(VLOOKUP($A81,'Contribution Allocation_Report'!$A$9:$D$310,4,FALSE)*$M$323,0)</f>
        <v>-362524</v>
      </c>
      <c r="N81" s="156">
        <f>ROUND(VLOOKUP($A81,'Contribution Allocation_Report'!$A$9:$D$310,4,FALSE)*$N$323,0)</f>
        <v>-72087</v>
      </c>
      <c r="O81" s="246">
        <f>ROUND(VLOOKUP($A81,'Contribution Allocation_Report'!$A$9:$D$310,4,FALSE)*$O$323,0)</f>
        <v>-296478</v>
      </c>
      <c r="Q81" s="246">
        <f>+K81+VLOOKUP(A81,'Change in Proportion Layers'!$A$8:$I$321,3,FALSE)+VLOOKUP(A81,'Change in Proportion Layers'!$A$8:$V$321,10,FALSE)+VLOOKUP(A81,'Change in Proportion Layers'!$A$8:$V$321,16,FALSE)+VLOOKUP(A81,'Change in Proportion Layers'!$A$8:$V$321,21,FALSE)</f>
        <v>-721388</v>
      </c>
      <c r="R81" s="246">
        <f>+L81+VLOOKUP(A81,'Change in Proportion Layers'!$A$8:$V$321,4,FALSE)+VLOOKUP(A81,'Change in Proportion Layers'!$A$8:$V$321,11,FALSE)+VLOOKUP(A81,'Change in Proportion Layers'!$A$8:$V$321,17,FALSE)+VLOOKUP(A81,'Change in Proportion Layers'!$A$8:$V$321,22,FALSE)</f>
        <v>-374493</v>
      </c>
      <c r="S81" s="246">
        <f>+M81+VLOOKUP(A81,'Change in Proportion Layers'!$A$8:$V$321,5,FALSE)+VLOOKUP(A81,'Change in Proportion Layers'!$A$8:$V$321,12,FALSE)+VLOOKUP(A81,'Change in Proportion Layers'!$A$8:$V$321,18,FALSE)</f>
        <v>-308825</v>
      </c>
      <c r="T81" s="246">
        <f>+N81+VLOOKUP(A81,'Change in Proportion Layers'!$A$8:$V$321,6,FALSE)+VLOOKUP(A81,'Change in Proportion Layers'!$A$8:$V$321,13,FALSE)</f>
        <v>-256147</v>
      </c>
      <c r="U81" s="246">
        <f>+O81+VLOOKUP(A81,'Change in Proportion Layers'!$A$8:$V$321,7,FALSE)</f>
        <v>-334020</v>
      </c>
      <c r="W81" s="246">
        <f>('OPEB Amounts_Report'!G81-'OPEB Amounts_Report'!M81)</f>
        <v>-1994873</v>
      </c>
      <c r="X81" s="282">
        <f>SUM(Q81:U81)-('OPEB Amounts_Report'!G81-'OPEB Amounts_Report'!M81)</f>
        <v>0</v>
      </c>
    </row>
    <row r="82" spans="1:24" s="8" customFormat="1">
      <c r="A82" s="235">
        <v>3050</v>
      </c>
      <c r="B82" s="236" t="s">
        <v>72</v>
      </c>
      <c r="C82" s="245">
        <f t="shared" si="10"/>
        <v>-299452</v>
      </c>
      <c r="D82" s="245">
        <f t="shared" si="11"/>
        <v>-170093</v>
      </c>
      <c r="E82" s="245">
        <f t="shared" si="12"/>
        <v>-89837</v>
      </c>
      <c r="F82" s="245">
        <f t="shared" si="13"/>
        <v>-39556</v>
      </c>
      <c r="G82" s="245">
        <f t="shared" si="14"/>
        <v>-86820</v>
      </c>
      <c r="I82" s="51"/>
      <c r="K82" s="156">
        <f>ROUND(VLOOKUP($A82,'Contribution Allocation_Report'!$A$9:$D$310,4,FALSE)*$K$323,0)</f>
        <v>-332726</v>
      </c>
      <c r="L82" s="156">
        <f>ROUND(VLOOKUP($A82,'Contribution Allocation_Report'!$A$9:$D$310,4,FALSE)*$L$323,0)</f>
        <v>-209387</v>
      </c>
      <c r="M82" s="156">
        <f>ROUND(VLOOKUP($A82,'Contribution Allocation_Report'!$A$9:$D$310,4,FALSE)*$M$323,0)</f>
        <v>-118970</v>
      </c>
      <c r="N82" s="156">
        <f>ROUND(VLOOKUP($A82,'Contribution Allocation_Report'!$A$9:$D$310,4,FALSE)*$N$323,0)</f>
        <v>-23657</v>
      </c>
      <c r="O82" s="246">
        <f>ROUND(VLOOKUP($A82,'Contribution Allocation_Report'!$A$9:$D$310,4,FALSE)*$O$323,0)</f>
        <v>-97295</v>
      </c>
      <c r="Q82" s="246">
        <f>+K82+VLOOKUP(A82,'Change in Proportion Layers'!$A$8:$I$321,3,FALSE)+VLOOKUP(A82,'Change in Proportion Layers'!$A$8:$V$321,10,FALSE)+VLOOKUP(A82,'Change in Proportion Layers'!$A$8:$V$321,16,FALSE)+VLOOKUP(A82,'Change in Proportion Layers'!$A$8:$V$321,21,FALSE)</f>
        <v>-299452</v>
      </c>
      <c r="R82" s="246">
        <f>+L82+VLOOKUP(A82,'Change in Proportion Layers'!$A$8:$V$321,4,FALSE)+VLOOKUP(A82,'Change in Proportion Layers'!$A$8:$V$321,11,FALSE)+VLOOKUP(A82,'Change in Proportion Layers'!$A$8:$V$321,17,FALSE)+VLOOKUP(A82,'Change in Proportion Layers'!$A$8:$V$321,22,FALSE)</f>
        <v>-170093</v>
      </c>
      <c r="S82" s="246">
        <f>+M82+VLOOKUP(A82,'Change in Proportion Layers'!$A$8:$V$321,5,FALSE)+VLOOKUP(A82,'Change in Proportion Layers'!$A$8:$V$321,12,FALSE)+VLOOKUP(A82,'Change in Proportion Layers'!$A$8:$V$321,18,FALSE)</f>
        <v>-89837</v>
      </c>
      <c r="T82" s="246">
        <f>+N82+VLOOKUP(A82,'Change in Proportion Layers'!$A$8:$V$321,6,FALSE)+VLOOKUP(A82,'Change in Proportion Layers'!$A$8:$V$321,13,FALSE)</f>
        <v>-39556</v>
      </c>
      <c r="U82" s="246">
        <f>+O82+VLOOKUP(A82,'Change in Proportion Layers'!$A$8:$V$321,7,FALSE)</f>
        <v>-86820</v>
      </c>
      <c r="W82" s="246">
        <f>('OPEB Amounts_Report'!G82-'OPEB Amounts_Report'!M82)</f>
        <v>-685758</v>
      </c>
      <c r="X82" s="282">
        <f>SUM(Q82:U82)-('OPEB Amounts_Report'!G82-'OPEB Amounts_Report'!M82)</f>
        <v>0</v>
      </c>
    </row>
    <row r="83" spans="1:24" s="8" customFormat="1">
      <c r="A83" s="237">
        <v>2421</v>
      </c>
      <c r="B83" s="238" t="s">
        <v>73</v>
      </c>
      <c r="C83" s="48">
        <f t="shared" si="10"/>
        <v>-147765</v>
      </c>
      <c r="D83" s="48">
        <f t="shared" si="11"/>
        <v>-97243</v>
      </c>
      <c r="E83" s="48">
        <f t="shared" si="12"/>
        <v>-47784</v>
      </c>
      <c r="F83" s="48">
        <f t="shared" si="13"/>
        <v>-11029</v>
      </c>
      <c r="G83" s="48">
        <f t="shared" si="14"/>
        <v>-29269</v>
      </c>
      <c r="I83" s="51"/>
      <c r="K83" s="156">
        <f>ROUND(VLOOKUP($A83,'Contribution Allocation_Report'!$A$9:$D$310,4,FALSE)*$K$323,0)</f>
        <v>-119909</v>
      </c>
      <c r="L83" s="156">
        <f>ROUND(VLOOKUP($A83,'Contribution Allocation_Report'!$A$9:$D$310,4,FALSE)*$L$323,0)</f>
        <v>-75459</v>
      </c>
      <c r="M83" s="156">
        <f>ROUND(VLOOKUP($A83,'Contribution Allocation_Report'!$A$9:$D$310,4,FALSE)*$M$323,0)</f>
        <v>-42875</v>
      </c>
      <c r="N83" s="156">
        <f>ROUND(VLOOKUP($A83,'Contribution Allocation_Report'!$A$9:$D$310,4,FALSE)*$N$323,0)</f>
        <v>-8526</v>
      </c>
      <c r="O83" s="246">
        <f>ROUND(VLOOKUP($A83,'Contribution Allocation_Report'!$A$9:$D$310,4,FALSE)*$O$323,0)</f>
        <v>-35064</v>
      </c>
      <c r="Q83" s="246">
        <f>+K83+VLOOKUP(A83,'Change in Proportion Layers'!$A$8:$I$321,3,FALSE)+VLOOKUP(A83,'Change in Proportion Layers'!$A$8:$V$321,10,FALSE)+VLOOKUP(A83,'Change in Proportion Layers'!$A$8:$V$321,16,FALSE)+VLOOKUP(A83,'Change in Proportion Layers'!$A$8:$V$321,21,FALSE)</f>
        <v>-147765</v>
      </c>
      <c r="R83" s="246">
        <f>+L83+VLOOKUP(A83,'Change in Proportion Layers'!$A$8:$V$321,4,FALSE)+VLOOKUP(A83,'Change in Proportion Layers'!$A$8:$V$321,11,FALSE)+VLOOKUP(A83,'Change in Proportion Layers'!$A$8:$V$321,17,FALSE)+VLOOKUP(A83,'Change in Proportion Layers'!$A$8:$V$321,22,FALSE)</f>
        <v>-97243</v>
      </c>
      <c r="S83" s="246">
        <f>+M83+VLOOKUP(A83,'Change in Proportion Layers'!$A$8:$V$321,5,FALSE)+VLOOKUP(A83,'Change in Proportion Layers'!$A$8:$V$321,12,FALSE)+VLOOKUP(A83,'Change in Proportion Layers'!$A$8:$V$321,18,FALSE)</f>
        <v>-47784</v>
      </c>
      <c r="T83" s="246">
        <f>+N83+VLOOKUP(A83,'Change in Proportion Layers'!$A$8:$V$321,6,FALSE)+VLOOKUP(A83,'Change in Proportion Layers'!$A$8:$V$321,13,FALSE)</f>
        <v>-11029</v>
      </c>
      <c r="U83" s="246">
        <f>+O83+VLOOKUP(A83,'Change in Proportion Layers'!$A$8:$V$321,7,FALSE)</f>
        <v>-29269</v>
      </c>
      <c r="W83" s="246">
        <f>('OPEB Amounts_Report'!G83-'OPEB Amounts_Report'!M83)</f>
        <v>-333090</v>
      </c>
      <c r="X83" s="282">
        <f>SUM(Q83:U83)-('OPEB Amounts_Report'!G83-'OPEB Amounts_Report'!M83)</f>
        <v>0</v>
      </c>
    </row>
    <row r="84" spans="1:24" s="8" customFormat="1">
      <c r="A84" s="235">
        <v>26079</v>
      </c>
      <c r="B84" s="236" t="s">
        <v>74</v>
      </c>
      <c r="C84" s="245">
        <f t="shared" si="10"/>
        <v>-125933</v>
      </c>
      <c r="D84" s="245">
        <f t="shared" si="11"/>
        <v>-87316</v>
      </c>
      <c r="E84" s="245">
        <f t="shared" si="12"/>
        <v>-52453</v>
      </c>
      <c r="F84" s="245">
        <f t="shared" si="13"/>
        <v>-6731</v>
      </c>
      <c r="G84" s="245">
        <f t="shared" si="14"/>
        <v>-27868</v>
      </c>
      <c r="I84" s="51"/>
      <c r="K84" s="156">
        <f>ROUND(VLOOKUP($A84,'Contribution Allocation_Report'!$A$9:$D$310,4,FALSE)*$K$323,0)</f>
        <v>-106971</v>
      </c>
      <c r="L84" s="156">
        <f>ROUND(VLOOKUP($A84,'Contribution Allocation_Report'!$A$9:$D$310,4,FALSE)*$L$323,0)</f>
        <v>-67318</v>
      </c>
      <c r="M84" s="156">
        <f>ROUND(VLOOKUP($A84,'Contribution Allocation_Report'!$A$9:$D$310,4,FALSE)*$M$323,0)</f>
        <v>-38249</v>
      </c>
      <c r="N84" s="156">
        <f>ROUND(VLOOKUP($A84,'Contribution Allocation_Report'!$A$9:$D$310,4,FALSE)*$N$323,0)</f>
        <v>-7606</v>
      </c>
      <c r="O84" s="246">
        <f>ROUND(VLOOKUP($A84,'Contribution Allocation_Report'!$A$9:$D$310,4,FALSE)*$O$323,0)</f>
        <v>-31280</v>
      </c>
      <c r="Q84" s="246">
        <f>+K84+VLOOKUP(A84,'Change in Proportion Layers'!$A$8:$I$321,3,FALSE)+VLOOKUP(A84,'Change in Proportion Layers'!$A$8:$V$321,10,FALSE)+VLOOKUP(A84,'Change in Proportion Layers'!$A$8:$V$321,16,FALSE)+VLOOKUP(A84,'Change in Proportion Layers'!$A$8:$V$321,21,FALSE)</f>
        <v>-125933</v>
      </c>
      <c r="R84" s="246">
        <f>+L84+VLOOKUP(A84,'Change in Proportion Layers'!$A$8:$V$321,4,FALSE)+VLOOKUP(A84,'Change in Proportion Layers'!$A$8:$V$321,11,FALSE)+VLOOKUP(A84,'Change in Proportion Layers'!$A$8:$V$321,17,FALSE)+VLOOKUP(A84,'Change in Proportion Layers'!$A$8:$V$321,22,FALSE)</f>
        <v>-87316</v>
      </c>
      <c r="S84" s="246">
        <f>+M84+VLOOKUP(A84,'Change in Proportion Layers'!$A$8:$V$321,5,FALSE)+VLOOKUP(A84,'Change in Proportion Layers'!$A$8:$V$321,12,FALSE)+VLOOKUP(A84,'Change in Proportion Layers'!$A$8:$V$321,18,FALSE)</f>
        <v>-52453</v>
      </c>
      <c r="T84" s="246">
        <f>+N84+VLOOKUP(A84,'Change in Proportion Layers'!$A$8:$V$321,6,FALSE)+VLOOKUP(A84,'Change in Proportion Layers'!$A$8:$V$321,13,FALSE)</f>
        <v>-6731</v>
      </c>
      <c r="U84" s="246">
        <f>+O84+VLOOKUP(A84,'Change in Proportion Layers'!$A$8:$V$321,7,FALSE)+1</f>
        <v>-27868</v>
      </c>
      <c r="W84" s="246">
        <f>('OPEB Amounts_Report'!G84-'OPEB Amounts_Report'!M84)</f>
        <v>-300301</v>
      </c>
      <c r="X84" s="282">
        <f>SUM(Q84:U84)-('OPEB Amounts_Report'!G84-'OPEB Amounts_Report'!M84)</f>
        <v>0</v>
      </c>
    </row>
    <row r="85" spans="1:24" s="8" customFormat="1">
      <c r="A85" s="237">
        <v>2363</v>
      </c>
      <c r="B85" s="238" t="s">
        <v>75</v>
      </c>
      <c r="C85" s="48">
        <f t="shared" si="10"/>
        <v>-135164</v>
      </c>
      <c r="D85" s="48">
        <f t="shared" si="11"/>
        <v>-82467</v>
      </c>
      <c r="E85" s="48">
        <f t="shared" si="12"/>
        <v>-42771</v>
      </c>
      <c r="F85" s="48">
        <f t="shared" si="13"/>
        <v>-4307</v>
      </c>
      <c r="G85" s="48">
        <f t="shared" si="14"/>
        <v>-33529</v>
      </c>
      <c r="I85" s="51"/>
      <c r="K85" s="156">
        <f>ROUND(VLOOKUP($A85,'Contribution Allocation_Report'!$A$9:$D$310,4,FALSE)*$K$323,0)</f>
        <v>-139363</v>
      </c>
      <c r="L85" s="156">
        <f>ROUND(VLOOKUP($A85,'Contribution Allocation_Report'!$A$9:$D$310,4,FALSE)*$L$323,0)</f>
        <v>-87702</v>
      </c>
      <c r="M85" s="156">
        <f>ROUND(VLOOKUP($A85,'Contribution Allocation_Report'!$A$9:$D$310,4,FALSE)*$M$323,0)</f>
        <v>-49830</v>
      </c>
      <c r="N85" s="156">
        <f>ROUND(VLOOKUP($A85,'Contribution Allocation_Report'!$A$9:$D$310,4,FALSE)*$N$323,0)</f>
        <v>-9909</v>
      </c>
      <c r="O85" s="246">
        <f>ROUND(VLOOKUP($A85,'Contribution Allocation_Report'!$A$9:$D$310,4,FALSE)*$O$323,0)</f>
        <v>-40752</v>
      </c>
      <c r="Q85" s="246">
        <f>+K85+VLOOKUP(A85,'Change in Proportion Layers'!$A$8:$I$321,3,FALSE)+VLOOKUP(A85,'Change in Proportion Layers'!$A$8:$V$321,10,FALSE)+VLOOKUP(A85,'Change in Proportion Layers'!$A$8:$V$321,16,FALSE)+VLOOKUP(A85,'Change in Proportion Layers'!$A$8:$V$321,21,FALSE)</f>
        <v>-135164</v>
      </c>
      <c r="R85" s="246">
        <f>+L85+VLOOKUP(A85,'Change in Proportion Layers'!$A$8:$V$321,4,FALSE)+VLOOKUP(A85,'Change in Proportion Layers'!$A$8:$V$321,11,FALSE)+VLOOKUP(A85,'Change in Proportion Layers'!$A$8:$V$321,17,FALSE)+VLOOKUP(A85,'Change in Proportion Layers'!$A$8:$V$321,22,FALSE)</f>
        <v>-82467</v>
      </c>
      <c r="S85" s="246">
        <f>+M85+VLOOKUP(A85,'Change in Proportion Layers'!$A$8:$V$321,5,FALSE)+VLOOKUP(A85,'Change in Proportion Layers'!$A$8:$V$321,12,FALSE)+VLOOKUP(A85,'Change in Proportion Layers'!$A$8:$V$321,18,FALSE)</f>
        <v>-42771</v>
      </c>
      <c r="T85" s="246">
        <f>+N85+VLOOKUP(A85,'Change in Proportion Layers'!$A$8:$V$321,6,FALSE)+VLOOKUP(A85,'Change in Proportion Layers'!$A$8:$V$321,13,FALSE)</f>
        <v>-4307</v>
      </c>
      <c r="U85" s="246">
        <f>+O85+VLOOKUP(A85,'Change in Proportion Layers'!$A$8:$V$321,7,FALSE)</f>
        <v>-33529</v>
      </c>
      <c r="W85" s="246">
        <f>('OPEB Amounts_Report'!G85-'OPEB Amounts_Report'!M85)</f>
        <v>-298238</v>
      </c>
      <c r="X85" s="282">
        <f>SUM(Q85:U85)-('OPEB Amounts_Report'!G85-'OPEB Amounts_Report'!M85)</f>
        <v>0</v>
      </c>
    </row>
    <row r="86" spans="1:24" s="8" customFormat="1">
      <c r="A86" s="235">
        <v>2364</v>
      </c>
      <c r="B86" s="236" t="s">
        <v>76</v>
      </c>
      <c r="C86" s="245">
        <f t="shared" si="10"/>
        <v>-316333</v>
      </c>
      <c r="D86" s="245">
        <f t="shared" si="11"/>
        <v>-177919</v>
      </c>
      <c r="E86" s="245">
        <f t="shared" si="12"/>
        <v>-62078</v>
      </c>
      <c r="F86" s="245">
        <f t="shared" si="13"/>
        <v>51262</v>
      </c>
      <c r="G86" s="245">
        <f t="shared" si="14"/>
        <v>-42074</v>
      </c>
      <c r="I86" s="51"/>
      <c r="K86" s="156">
        <f>ROUND(VLOOKUP($A86,'Contribution Allocation_Report'!$A$9:$D$310,4,FALSE)*$K$323,0)</f>
        <v>-360758</v>
      </c>
      <c r="L86" s="156">
        <f>ROUND(VLOOKUP($A86,'Contribution Allocation_Report'!$A$9:$D$310,4,FALSE)*$L$323,0)</f>
        <v>-227027</v>
      </c>
      <c r="M86" s="156">
        <f>ROUND(VLOOKUP($A86,'Contribution Allocation_Report'!$A$9:$D$310,4,FALSE)*$M$323,0)</f>
        <v>-128993</v>
      </c>
      <c r="N86" s="156">
        <f>ROUND(VLOOKUP($A86,'Contribution Allocation_Report'!$A$9:$D$310,4,FALSE)*$N$323,0)</f>
        <v>-25650</v>
      </c>
      <c r="O86" s="246">
        <f>ROUND(VLOOKUP($A86,'Contribution Allocation_Report'!$A$9:$D$310,4,FALSE)*$O$323,0)</f>
        <v>-105492</v>
      </c>
      <c r="Q86" s="246">
        <f>+K86+VLOOKUP(A86,'Change in Proportion Layers'!$A$8:$I$321,3,FALSE)+VLOOKUP(A86,'Change in Proportion Layers'!$A$8:$V$321,10,FALSE)+VLOOKUP(A86,'Change in Proportion Layers'!$A$8:$V$321,16,FALSE)+VLOOKUP(A86,'Change in Proportion Layers'!$A$8:$V$321,21,FALSE)</f>
        <v>-316333</v>
      </c>
      <c r="R86" s="246">
        <f>+L86+VLOOKUP(A86,'Change in Proportion Layers'!$A$8:$V$321,4,FALSE)+VLOOKUP(A86,'Change in Proportion Layers'!$A$8:$V$321,11,FALSE)+VLOOKUP(A86,'Change in Proportion Layers'!$A$8:$V$321,17,FALSE)+VLOOKUP(A86,'Change in Proportion Layers'!$A$8:$V$321,22,FALSE)</f>
        <v>-177919</v>
      </c>
      <c r="S86" s="246">
        <f>+M86+VLOOKUP(A86,'Change in Proportion Layers'!$A$8:$V$321,5,FALSE)+VLOOKUP(A86,'Change in Proportion Layers'!$A$8:$V$321,12,FALSE)+VLOOKUP(A86,'Change in Proportion Layers'!$A$8:$V$321,18,FALSE)</f>
        <v>-62078</v>
      </c>
      <c r="T86" s="246">
        <f>+N86+VLOOKUP(A86,'Change in Proportion Layers'!$A$8:$V$321,6,FALSE)+VLOOKUP(A86,'Change in Proportion Layers'!$A$8:$V$321,13,FALSE)</f>
        <v>51262</v>
      </c>
      <c r="U86" s="246">
        <f>+O86+VLOOKUP(A86,'Change in Proportion Layers'!$A$8:$V$321,7,FALSE)</f>
        <v>-42074</v>
      </c>
      <c r="W86" s="246">
        <f>('OPEB Amounts_Report'!G86-'OPEB Amounts_Report'!M86)</f>
        <v>-547142</v>
      </c>
      <c r="X86" s="282">
        <f>SUM(Q86:U86)-('OPEB Amounts_Report'!G86-'OPEB Amounts_Report'!M86)</f>
        <v>0</v>
      </c>
    </row>
    <row r="87" spans="1:24" s="8" customFormat="1">
      <c r="A87" s="237">
        <v>25319</v>
      </c>
      <c r="B87" s="238" t="s">
        <v>77</v>
      </c>
      <c r="C87" s="48">
        <f t="shared" si="10"/>
        <v>-77316</v>
      </c>
      <c r="D87" s="48">
        <f t="shared" si="11"/>
        <v>-38544</v>
      </c>
      <c r="E87" s="48">
        <f t="shared" si="12"/>
        <v>-14257</v>
      </c>
      <c r="F87" s="48">
        <f t="shared" si="13"/>
        <v>15729</v>
      </c>
      <c r="G87" s="48">
        <f t="shared" si="14"/>
        <v>-14112</v>
      </c>
      <c r="I87" s="51"/>
      <c r="K87" s="156">
        <f>ROUND(VLOOKUP($A87,'Contribution Allocation_Report'!$A$9:$D$310,4,FALSE)*$K$323,0)</f>
        <v>-109596</v>
      </c>
      <c r="L87" s="156">
        <f>ROUND(VLOOKUP($A87,'Contribution Allocation_Report'!$A$9:$D$310,4,FALSE)*$L$323,0)</f>
        <v>-68970</v>
      </c>
      <c r="M87" s="156">
        <f>ROUND(VLOOKUP($A87,'Contribution Allocation_Report'!$A$9:$D$310,4,FALSE)*$M$323,0)</f>
        <v>-39187</v>
      </c>
      <c r="N87" s="156">
        <f>ROUND(VLOOKUP($A87,'Contribution Allocation_Report'!$A$9:$D$310,4,FALSE)*$N$323,0)</f>
        <v>-7792</v>
      </c>
      <c r="O87" s="246">
        <f>ROUND(VLOOKUP($A87,'Contribution Allocation_Report'!$A$9:$D$310,4,FALSE)*$O$323,0)</f>
        <v>-32048</v>
      </c>
      <c r="Q87" s="246">
        <f>+K87+VLOOKUP(A87,'Change in Proportion Layers'!$A$8:$I$321,3,FALSE)+VLOOKUP(A87,'Change in Proportion Layers'!$A$8:$V$321,10,FALSE)+VLOOKUP(A87,'Change in Proportion Layers'!$A$8:$V$321,16,FALSE)+VLOOKUP(A87,'Change in Proportion Layers'!$A$8:$V$321,21,FALSE)</f>
        <v>-77316</v>
      </c>
      <c r="R87" s="246">
        <f>+L87+VLOOKUP(A87,'Change in Proportion Layers'!$A$8:$V$321,4,FALSE)+VLOOKUP(A87,'Change in Proportion Layers'!$A$8:$V$321,11,FALSE)+VLOOKUP(A87,'Change in Proportion Layers'!$A$8:$V$321,17,FALSE)+VLOOKUP(A87,'Change in Proportion Layers'!$A$8:$V$321,22,FALSE)</f>
        <v>-38544</v>
      </c>
      <c r="S87" s="246">
        <f>+M87+VLOOKUP(A87,'Change in Proportion Layers'!$A$8:$V$321,5,FALSE)+VLOOKUP(A87,'Change in Proportion Layers'!$A$8:$V$321,12,FALSE)+VLOOKUP(A87,'Change in Proportion Layers'!$A$8:$V$321,18,FALSE)</f>
        <v>-14257</v>
      </c>
      <c r="T87" s="246">
        <f>+N87+VLOOKUP(A87,'Change in Proportion Layers'!$A$8:$V$321,6,FALSE)+VLOOKUP(A87,'Change in Proportion Layers'!$A$8:$V$321,13,FALSE)</f>
        <v>15729</v>
      </c>
      <c r="U87" s="246">
        <f>+O87+VLOOKUP(A87,'Change in Proportion Layers'!$A$8:$V$321,7,FALSE)</f>
        <v>-14112</v>
      </c>
      <c r="W87" s="246">
        <f>('OPEB Amounts_Report'!G87-'OPEB Amounts_Report'!M87)</f>
        <v>-128500</v>
      </c>
      <c r="X87" s="282">
        <f>SUM(Q87:U87)-('OPEB Amounts_Report'!G87-'OPEB Amounts_Report'!M87)</f>
        <v>0</v>
      </c>
    </row>
    <row r="88" spans="1:24" s="8" customFormat="1">
      <c r="A88" s="235">
        <v>29087</v>
      </c>
      <c r="B88" s="236" t="s">
        <v>78</v>
      </c>
      <c r="C88" s="245">
        <f t="shared" si="10"/>
        <v>-403872</v>
      </c>
      <c r="D88" s="245">
        <f t="shared" si="11"/>
        <v>-167686</v>
      </c>
      <c r="E88" s="245">
        <f t="shared" si="12"/>
        <v>-22592</v>
      </c>
      <c r="F88" s="245">
        <f t="shared" si="13"/>
        <v>102921</v>
      </c>
      <c r="G88" s="245">
        <f t="shared" si="14"/>
        <v>-224797</v>
      </c>
      <c r="I88" s="51"/>
      <c r="K88" s="156">
        <f>ROUND(VLOOKUP($A88,'Contribution Allocation_Report'!$A$9:$D$310,4,FALSE)*$K$323,0)</f>
        <v>-634936</v>
      </c>
      <c r="L88" s="156">
        <f>ROUND(VLOOKUP($A88,'Contribution Allocation_Report'!$A$9:$D$310,4,FALSE)*$L$323,0)</f>
        <v>-399569</v>
      </c>
      <c r="M88" s="156">
        <f>ROUND(VLOOKUP($A88,'Contribution Allocation_Report'!$A$9:$D$310,4,FALSE)*$M$323,0)</f>
        <v>-227028</v>
      </c>
      <c r="N88" s="156">
        <f>ROUND(VLOOKUP($A88,'Contribution Allocation_Report'!$A$9:$D$310,4,FALSE)*$N$323,0)</f>
        <v>-45144</v>
      </c>
      <c r="O88" s="246">
        <f>ROUND(VLOOKUP($A88,'Contribution Allocation_Report'!$A$9:$D$310,4,FALSE)*$O$323,0)</f>
        <v>-185667</v>
      </c>
      <c r="Q88" s="246">
        <f>+K88+VLOOKUP(A88,'Change in Proportion Layers'!$A$8:$I$321,3,FALSE)+VLOOKUP(A88,'Change in Proportion Layers'!$A$8:$V$321,10,FALSE)+VLOOKUP(A88,'Change in Proportion Layers'!$A$8:$V$321,16,FALSE)+VLOOKUP(A88,'Change in Proportion Layers'!$A$8:$V$321,21,FALSE)</f>
        <v>-403872</v>
      </c>
      <c r="R88" s="246">
        <f>+L88+VLOOKUP(A88,'Change in Proportion Layers'!$A$8:$V$321,4,FALSE)+VLOOKUP(A88,'Change in Proportion Layers'!$A$8:$V$321,11,FALSE)+VLOOKUP(A88,'Change in Proportion Layers'!$A$8:$V$321,17,FALSE)+VLOOKUP(A88,'Change in Proportion Layers'!$A$8:$V$321,22,FALSE)</f>
        <v>-167686</v>
      </c>
      <c r="S88" s="246">
        <f>+M88+VLOOKUP(A88,'Change in Proportion Layers'!$A$8:$V$321,5,FALSE)+VLOOKUP(A88,'Change in Proportion Layers'!$A$8:$V$321,12,FALSE)+VLOOKUP(A88,'Change in Proportion Layers'!$A$8:$V$321,18,FALSE)</f>
        <v>-22592</v>
      </c>
      <c r="T88" s="246">
        <f>+N88+VLOOKUP(A88,'Change in Proportion Layers'!$A$8:$V$321,6,FALSE)+VLOOKUP(A88,'Change in Proportion Layers'!$A$8:$V$321,13,FALSE)</f>
        <v>102921</v>
      </c>
      <c r="U88" s="246">
        <f>+O88+VLOOKUP(A88,'Change in Proportion Layers'!$A$8:$V$321,7,FALSE)-2</f>
        <v>-224797</v>
      </c>
      <c r="W88" s="246">
        <f>('OPEB Amounts_Report'!G88-'OPEB Amounts_Report'!M88)</f>
        <v>-716026</v>
      </c>
      <c r="X88" s="282">
        <f>SUM(Q88:U88)-('OPEB Amounts_Report'!G88-'OPEB Amounts_Report'!M88)</f>
        <v>0</v>
      </c>
    </row>
    <row r="89" spans="1:24" s="8" customFormat="1">
      <c r="A89" s="237">
        <v>3060</v>
      </c>
      <c r="B89" s="238" t="s">
        <v>79</v>
      </c>
      <c r="C89" s="48">
        <f t="shared" si="10"/>
        <v>-707704</v>
      </c>
      <c r="D89" s="48">
        <f t="shared" si="11"/>
        <v>-510185</v>
      </c>
      <c r="E89" s="48">
        <f t="shared" si="12"/>
        <v>-348241</v>
      </c>
      <c r="F89" s="48">
        <f t="shared" si="13"/>
        <v>-124114</v>
      </c>
      <c r="G89" s="48">
        <f t="shared" si="14"/>
        <v>-253613</v>
      </c>
      <c r="I89" s="51"/>
      <c r="K89" s="156">
        <f>ROUND(VLOOKUP($A89,'Contribution Allocation_Report'!$A$9:$D$310,4,FALSE)*$K$323,0)</f>
        <v>-560310</v>
      </c>
      <c r="L89" s="156">
        <f>ROUND(VLOOKUP($A89,'Contribution Allocation_Report'!$A$9:$D$310,4,FALSE)*$L$323,0)</f>
        <v>-352606</v>
      </c>
      <c r="M89" s="156">
        <f>ROUND(VLOOKUP($A89,'Contribution Allocation_Report'!$A$9:$D$310,4,FALSE)*$M$323,0)</f>
        <v>-200344</v>
      </c>
      <c r="N89" s="156">
        <f>ROUND(VLOOKUP($A89,'Contribution Allocation_Report'!$A$9:$D$310,4,FALSE)*$N$323,0)</f>
        <v>-39838</v>
      </c>
      <c r="O89" s="246">
        <f>ROUND(VLOOKUP($A89,'Contribution Allocation_Report'!$A$9:$D$310,4,FALSE)*$O$323,0)</f>
        <v>-163845</v>
      </c>
      <c r="Q89" s="246">
        <f>+K89+VLOOKUP(A89,'Change in Proportion Layers'!$A$8:$I$321,3,FALSE)+VLOOKUP(A89,'Change in Proportion Layers'!$A$8:$V$321,10,FALSE)+VLOOKUP(A89,'Change in Proportion Layers'!$A$8:$V$321,16,FALSE)+VLOOKUP(A89,'Change in Proportion Layers'!$A$8:$V$321,21,FALSE)</f>
        <v>-707704</v>
      </c>
      <c r="R89" s="246">
        <f>+L89+VLOOKUP(A89,'Change in Proportion Layers'!$A$8:$V$321,4,FALSE)+VLOOKUP(A89,'Change in Proportion Layers'!$A$8:$V$321,11,FALSE)+VLOOKUP(A89,'Change in Proportion Layers'!$A$8:$V$321,17,FALSE)+VLOOKUP(A89,'Change in Proportion Layers'!$A$8:$V$321,22,FALSE)</f>
        <v>-510185</v>
      </c>
      <c r="S89" s="246">
        <f>+M89+VLOOKUP(A89,'Change in Proportion Layers'!$A$8:$V$321,5,FALSE)+VLOOKUP(A89,'Change in Proportion Layers'!$A$8:$V$321,12,FALSE)+VLOOKUP(A89,'Change in Proportion Layers'!$A$8:$V$321,18,FALSE)</f>
        <v>-348241</v>
      </c>
      <c r="T89" s="246">
        <f>+N89+VLOOKUP(A89,'Change in Proportion Layers'!$A$8:$V$321,6,FALSE)+VLOOKUP(A89,'Change in Proportion Layers'!$A$8:$V$321,13,FALSE)</f>
        <v>-124114</v>
      </c>
      <c r="U89" s="246">
        <f>+O89+VLOOKUP(A89,'Change in Proportion Layers'!$A$8:$V$321,7,FALSE)-1</f>
        <v>-253613</v>
      </c>
      <c r="W89" s="246">
        <f>('OPEB Amounts_Report'!G89-'OPEB Amounts_Report'!M89)</f>
        <v>-1943857</v>
      </c>
      <c r="X89" s="282">
        <f>SUM(Q89:U89)-('OPEB Amounts_Report'!G89-'OPEB Amounts_Report'!M89)</f>
        <v>0</v>
      </c>
    </row>
    <row r="90" spans="1:24" s="8" customFormat="1">
      <c r="A90" s="235">
        <v>19301</v>
      </c>
      <c r="B90" s="236" t="s">
        <v>80</v>
      </c>
      <c r="C90" s="245">
        <f t="shared" si="10"/>
        <v>-129239</v>
      </c>
      <c r="D90" s="245">
        <f t="shared" si="11"/>
        <v>-94865</v>
      </c>
      <c r="E90" s="245">
        <f t="shared" si="12"/>
        <v>-62160</v>
      </c>
      <c r="F90" s="245">
        <f t="shared" si="13"/>
        <v>-35083</v>
      </c>
      <c r="G90" s="245">
        <f t="shared" si="14"/>
        <v>-24257</v>
      </c>
      <c r="I90" s="51"/>
      <c r="K90" s="156">
        <f>ROUND(VLOOKUP($A90,'Contribution Allocation_Report'!$A$9:$D$310,4,FALSE)*$K$323,0)</f>
        <v>-83768</v>
      </c>
      <c r="L90" s="156">
        <f>ROUND(VLOOKUP($A90,'Contribution Allocation_Report'!$A$9:$D$310,4,FALSE)*$L$323,0)</f>
        <v>-52715</v>
      </c>
      <c r="M90" s="156">
        <f>ROUND(VLOOKUP($A90,'Contribution Allocation_Report'!$A$9:$D$310,4,FALSE)*$M$323,0)</f>
        <v>-29952</v>
      </c>
      <c r="N90" s="156">
        <f>ROUND(VLOOKUP($A90,'Contribution Allocation_Report'!$A$9:$D$310,4,FALSE)*$N$323,0)</f>
        <v>-5956</v>
      </c>
      <c r="O90" s="246">
        <f>ROUND(VLOOKUP($A90,'Contribution Allocation_Report'!$A$9:$D$310,4,FALSE)*$O$323,0)</f>
        <v>-24495</v>
      </c>
      <c r="Q90" s="246">
        <f>+K90+VLOOKUP(A90,'Change in Proportion Layers'!$A$8:$I$321,3,FALSE)+VLOOKUP(A90,'Change in Proportion Layers'!$A$8:$V$321,10,FALSE)+VLOOKUP(A90,'Change in Proportion Layers'!$A$8:$V$321,16,FALSE)+VLOOKUP(A90,'Change in Proportion Layers'!$A$8:$V$321,21,FALSE)</f>
        <v>-129239</v>
      </c>
      <c r="R90" s="246">
        <f>+L90+VLOOKUP(A90,'Change in Proportion Layers'!$A$8:$V$321,4,FALSE)+VLOOKUP(A90,'Change in Proportion Layers'!$A$8:$V$321,11,FALSE)+VLOOKUP(A90,'Change in Proportion Layers'!$A$8:$V$321,17,FALSE)+VLOOKUP(A90,'Change in Proportion Layers'!$A$8:$V$321,22,FALSE)</f>
        <v>-94865</v>
      </c>
      <c r="S90" s="246">
        <f>+M90+VLOOKUP(A90,'Change in Proportion Layers'!$A$8:$V$321,5,FALSE)+VLOOKUP(A90,'Change in Proportion Layers'!$A$8:$V$321,12,FALSE)+VLOOKUP(A90,'Change in Proportion Layers'!$A$8:$V$321,18,FALSE)</f>
        <v>-62160</v>
      </c>
      <c r="T90" s="246">
        <f>+N90+VLOOKUP(A90,'Change in Proportion Layers'!$A$8:$V$321,6,FALSE)+VLOOKUP(A90,'Change in Proportion Layers'!$A$8:$V$321,13,FALSE)</f>
        <v>-35083</v>
      </c>
      <c r="U90" s="246">
        <f>+O90+VLOOKUP(A90,'Change in Proportion Layers'!$A$8:$V$321,7,FALSE)</f>
        <v>-24257</v>
      </c>
      <c r="W90" s="246">
        <f>('OPEB Amounts_Report'!G90-'OPEB Amounts_Report'!M90)</f>
        <v>-345604</v>
      </c>
      <c r="X90" s="282">
        <f>SUM(Q90:U90)-('OPEB Amounts_Report'!G90-'OPEB Amounts_Report'!M90)</f>
        <v>0</v>
      </c>
    </row>
    <row r="91" spans="1:24" s="8" customFormat="1">
      <c r="A91" s="237">
        <v>19059</v>
      </c>
      <c r="B91" s="238" t="s">
        <v>81</v>
      </c>
      <c r="C91" s="48">
        <f t="shared" si="10"/>
        <v>-2962871</v>
      </c>
      <c r="D91" s="48">
        <f t="shared" si="11"/>
        <v>-1688081</v>
      </c>
      <c r="E91" s="48">
        <f t="shared" si="12"/>
        <v>-730660</v>
      </c>
      <c r="F91" s="48">
        <f t="shared" si="13"/>
        <v>54714</v>
      </c>
      <c r="G91" s="48">
        <f t="shared" si="14"/>
        <v>-1032574</v>
      </c>
      <c r="I91" s="51"/>
      <c r="K91" s="156">
        <f>ROUND(VLOOKUP($A91,'Contribution Allocation_Report'!$A$9:$D$310,4,FALSE)*$K$323,0)</f>
        <v>-3283340</v>
      </c>
      <c r="L91" s="156">
        <f>ROUND(VLOOKUP($A91,'Contribution Allocation_Report'!$A$9:$D$310,4,FALSE)*$L$323,0)</f>
        <v>-2066226</v>
      </c>
      <c r="M91" s="156">
        <f>ROUND(VLOOKUP($A91,'Contribution Allocation_Report'!$A$9:$D$310,4,FALSE)*$M$323,0)</f>
        <v>-1173992</v>
      </c>
      <c r="N91" s="156">
        <f>ROUND(VLOOKUP($A91,'Contribution Allocation_Report'!$A$9:$D$310,4,FALSE)*$N$323,0)</f>
        <v>-233446</v>
      </c>
      <c r="O91" s="246">
        <f>ROUND(VLOOKUP($A91,'Contribution Allocation_Report'!$A$9:$D$310,4,FALSE)*$O$323,0)</f>
        <v>-960108</v>
      </c>
      <c r="Q91" s="246">
        <f>+K91+VLOOKUP(A91,'Change in Proportion Layers'!$A$8:$I$321,3,FALSE)+VLOOKUP(A91,'Change in Proportion Layers'!$A$8:$V$321,10,FALSE)+VLOOKUP(A91,'Change in Proportion Layers'!$A$8:$V$321,16,FALSE)+VLOOKUP(A91,'Change in Proportion Layers'!$A$8:$V$321,21,FALSE)</f>
        <v>-2962871</v>
      </c>
      <c r="R91" s="246">
        <f>+L91+VLOOKUP(A91,'Change in Proportion Layers'!$A$8:$V$321,4,FALSE)+VLOOKUP(A91,'Change in Proportion Layers'!$A$8:$V$321,11,FALSE)+VLOOKUP(A91,'Change in Proportion Layers'!$A$8:$V$321,17,FALSE)+VLOOKUP(A91,'Change in Proportion Layers'!$A$8:$V$321,22,FALSE)</f>
        <v>-1688081</v>
      </c>
      <c r="S91" s="246">
        <f>+M91+VLOOKUP(A91,'Change in Proportion Layers'!$A$8:$V$321,5,FALSE)+VLOOKUP(A91,'Change in Proportion Layers'!$A$8:$V$321,12,FALSE)+VLOOKUP(A91,'Change in Proportion Layers'!$A$8:$V$321,18,FALSE)</f>
        <v>-730660</v>
      </c>
      <c r="T91" s="246">
        <f>+N91+VLOOKUP(A91,'Change in Proportion Layers'!$A$8:$V$321,6,FALSE)+VLOOKUP(A91,'Change in Proportion Layers'!$A$8:$V$321,13,FALSE)</f>
        <v>54714</v>
      </c>
      <c r="U91" s="246">
        <f>+O91+VLOOKUP(A91,'Change in Proportion Layers'!$A$8:$V$321,7,FALSE)</f>
        <v>-1032574</v>
      </c>
      <c r="W91" s="246">
        <f>('OPEB Amounts_Report'!G91-'OPEB Amounts_Report'!M91)</f>
        <v>-6359472</v>
      </c>
      <c r="X91" s="282">
        <f>SUM(Q91:U91)-('OPEB Amounts_Report'!G91-'OPEB Amounts_Report'!M91)</f>
        <v>0</v>
      </c>
    </row>
    <row r="92" spans="1:24" s="8" customFormat="1">
      <c r="A92" s="235">
        <v>18057</v>
      </c>
      <c r="B92" s="236" t="s">
        <v>82</v>
      </c>
      <c r="C92" s="245">
        <f t="shared" si="10"/>
        <v>-117484</v>
      </c>
      <c r="D92" s="245">
        <f t="shared" si="11"/>
        <v>-75920</v>
      </c>
      <c r="E92" s="245">
        <f t="shared" si="12"/>
        <v>-49607</v>
      </c>
      <c r="F92" s="245">
        <f t="shared" si="13"/>
        <v>-12532</v>
      </c>
      <c r="G92" s="245">
        <f t="shared" si="14"/>
        <v>-32477</v>
      </c>
      <c r="I92" s="51"/>
      <c r="K92" s="156">
        <f>ROUND(VLOOKUP($A92,'Contribution Allocation_Report'!$A$9:$D$310,4,FALSE)*$K$323,0)</f>
        <v>-120284</v>
      </c>
      <c r="L92" s="156">
        <f>ROUND(VLOOKUP($A92,'Contribution Allocation_Report'!$A$9:$D$310,4,FALSE)*$L$323,0)</f>
        <v>-75695</v>
      </c>
      <c r="M92" s="156">
        <f>ROUND(VLOOKUP($A92,'Contribution Allocation_Report'!$A$9:$D$310,4,FALSE)*$M$323,0)</f>
        <v>-43009</v>
      </c>
      <c r="N92" s="156">
        <f>ROUND(VLOOKUP($A92,'Contribution Allocation_Report'!$A$9:$D$310,4,FALSE)*$N$323,0)</f>
        <v>-8552</v>
      </c>
      <c r="O92" s="246">
        <f>ROUND(VLOOKUP($A92,'Contribution Allocation_Report'!$A$9:$D$310,4,FALSE)*$O$323,0)</f>
        <v>-35173</v>
      </c>
      <c r="Q92" s="246">
        <f>+K92+VLOOKUP(A92,'Change in Proportion Layers'!$A$8:$I$321,3,FALSE)+VLOOKUP(A92,'Change in Proportion Layers'!$A$8:$V$321,10,FALSE)+VLOOKUP(A92,'Change in Proportion Layers'!$A$8:$V$321,16,FALSE)+VLOOKUP(A92,'Change in Proportion Layers'!$A$8:$V$321,21,FALSE)</f>
        <v>-117484</v>
      </c>
      <c r="R92" s="246">
        <f>+L92+VLOOKUP(A92,'Change in Proportion Layers'!$A$8:$V$321,4,FALSE)+VLOOKUP(A92,'Change in Proportion Layers'!$A$8:$V$321,11,FALSE)+VLOOKUP(A92,'Change in Proportion Layers'!$A$8:$V$321,17,FALSE)+VLOOKUP(A92,'Change in Proportion Layers'!$A$8:$V$321,22,FALSE)</f>
        <v>-75920</v>
      </c>
      <c r="S92" s="246">
        <f>+M92+VLOOKUP(A92,'Change in Proportion Layers'!$A$8:$V$321,5,FALSE)+VLOOKUP(A92,'Change in Proportion Layers'!$A$8:$V$321,12,FALSE)+VLOOKUP(A92,'Change in Proportion Layers'!$A$8:$V$321,18,FALSE)</f>
        <v>-49607</v>
      </c>
      <c r="T92" s="246">
        <f>+N92+VLOOKUP(A92,'Change in Proportion Layers'!$A$8:$V$321,6,FALSE)+VLOOKUP(A92,'Change in Proportion Layers'!$A$8:$V$321,13,FALSE)</f>
        <v>-12532</v>
      </c>
      <c r="U92" s="246">
        <f>+O92+VLOOKUP(A92,'Change in Proportion Layers'!$A$8:$V$321,7,FALSE)-1</f>
        <v>-32477</v>
      </c>
      <c r="W92" s="246">
        <f>('OPEB Amounts_Report'!G92-'OPEB Amounts_Report'!M92)</f>
        <v>-288020</v>
      </c>
      <c r="X92" s="282">
        <f>SUM(Q92:U92)-('OPEB Amounts_Report'!G92-'OPEB Amounts_Report'!M92)</f>
        <v>0</v>
      </c>
    </row>
    <row r="93" spans="1:24" s="8" customFormat="1">
      <c r="A93" s="237">
        <v>4008</v>
      </c>
      <c r="B93" s="238" t="s">
        <v>83</v>
      </c>
      <c r="C93" s="48">
        <f t="shared" si="10"/>
        <v>-734665</v>
      </c>
      <c r="D93" s="48">
        <f t="shared" si="11"/>
        <v>-501360</v>
      </c>
      <c r="E93" s="48">
        <f t="shared" si="12"/>
        <v>-248911</v>
      </c>
      <c r="F93" s="48">
        <f t="shared" si="13"/>
        <v>-45132</v>
      </c>
      <c r="G93" s="48">
        <f t="shared" si="14"/>
        <v>-134205</v>
      </c>
      <c r="I93" s="51"/>
      <c r="K93" s="156">
        <f>ROUND(VLOOKUP($A93,'Contribution Allocation_Report'!$A$9:$D$310,4,FALSE)*$K$323,0)</f>
        <v>-547981</v>
      </c>
      <c r="L93" s="156">
        <f>ROUND(VLOOKUP($A93,'Contribution Allocation_Report'!$A$9:$D$310,4,FALSE)*$L$323,0)</f>
        <v>-344848</v>
      </c>
      <c r="M93" s="156">
        <f>ROUND(VLOOKUP($A93,'Contribution Allocation_Report'!$A$9:$D$310,4,FALSE)*$M$323,0)</f>
        <v>-195936</v>
      </c>
      <c r="N93" s="156">
        <f>ROUND(VLOOKUP($A93,'Contribution Allocation_Report'!$A$9:$D$310,4,FALSE)*$N$323,0)</f>
        <v>-38961</v>
      </c>
      <c r="O93" s="246">
        <f>ROUND(VLOOKUP($A93,'Contribution Allocation_Report'!$A$9:$D$310,4,FALSE)*$O$323,0)</f>
        <v>-160240</v>
      </c>
      <c r="Q93" s="246">
        <f>+K93+VLOOKUP(A93,'Change in Proportion Layers'!$A$8:$I$321,3,FALSE)+VLOOKUP(A93,'Change in Proportion Layers'!$A$8:$V$321,10,FALSE)+VLOOKUP(A93,'Change in Proportion Layers'!$A$8:$V$321,16,FALSE)+VLOOKUP(A93,'Change in Proportion Layers'!$A$8:$V$321,21,FALSE)</f>
        <v>-734665</v>
      </c>
      <c r="R93" s="246">
        <f>+L93+VLOOKUP(A93,'Change in Proportion Layers'!$A$8:$V$321,4,FALSE)+VLOOKUP(A93,'Change in Proportion Layers'!$A$8:$V$321,11,FALSE)+VLOOKUP(A93,'Change in Proportion Layers'!$A$8:$V$321,17,FALSE)+VLOOKUP(A93,'Change in Proportion Layers'!$A$8:$V$321,22,FALSE)</f>
        <v>-501360</v>
      </c>
      <c r="S93" s="246">
        <f>+M93+VLOOKUP(A93,'Change in Proportion Layers'!$A$8:$V$321,5,FALSE)+VLOOKUP(A93,'Change in Proportion Layers'!$A$8:$V$321,12,FALSE)+VLOOKUP(A93,'Change in Proportion Layers'!$A$8:$V$321,18,FALSE)</f>
        <v>-248911</v>
      </c>
      <c r="T93" s="246">
        <f>+N93+VLOOKUP(A93,'Change in Proportion Layers'!$A$8:$V$321,6,FALSE)+VLOOKUP(A93,'Change in Proportion Layers'!$A$8:$V$321,13,FALSE)</f>
        <v>-45132</v>
      </c>
      <c r="U93" s="246">
        <f>+O93+VLOOKUP(A93,'Change in Proportion Layers'!$A$8:$V$321,7,FALSE)</f>
        <v>-134205</v>
      </c>
      <c r="W93" s="246">
        <f>('OPEB Amounts_Report'!G93-'OPEB Amounts_Report'!M93)</f>
        <v>-1664273</v>
      </c>
      <c r="X93" s="282">
        <f>SUM(Q93:U93)-('OPEB Amounts_Report'!G93-'OPEB Amounts_Report'!M93)</f>
        <v>0</v>
      </c>
    </row>
    <row r="94" spans="1:24" s="8" customFormat="1">
      <c r="A94" s="235">
        <v>2350</v>
      </c>
      <c r="B94" s="236" t="s">
        <v>84</v>
      </c>
      <c r="C94" s="245">
        <f t="shared" si="10"/>
        <v>-183703</v>
      </c>
      <c r="D94" s="245">
        <f t="shared" si="11"/>
        <v>-103237</v>
      </c>
      <c r="E94" s="245">
        <f t="shared" si="12"/>
        <v>-20618</v>
      </c>
      <c r="F94" s="245">
        <f t="shared" si="13"/>
        <v>29558</v>
      </c>
      <c r="G94" s="245">
        <f t="shared" si="14"/>
        <v>-26246</v>
      </c>
      <c r="I94" s="51"/>
      <c r="K94" s="156">
        <f>ROUND(VLOOKUP($A94,'Contribution Allocation_Report'!$A$9:$D$310,4,FALSE)*$K$323,0)</f>
        <v>-181223</v>
      </c>
      <c r="L94" s="156">
        <f>ROUND(VLOOKUP($A94,'Contribution Allocation_Report'!$A$9:$D$310,4,FALSE)*$L$323,0)</f>
        <v>-114045</v>
      </c>
      <c r="M94" s="156">
        <f>ROUND(VLOOKUP($A94,'Contribution Allocation_Report'!$A$9:$D$310,4,FALSE)*$M$323,0)</f>
        <v>-64798</v>
      </c>
      <c r="N94" s="156">
        <f>ROUND(VLOOKUP($A94,'Contribution Allocation_Report'!$A$9:$D$310,4,FALSE)*$N$323,0)</f>
        <v>-12885</v>
      </c>
      <c r="O94" s="246">
        <f>ROUND(VLOOKUP($A94,'Contribution Allocation_Report'!$A$9:$D$310,4,FALSE)*$O$323,0)</f>
        <v>-52993</v>
      </c>
      <c r="Q94" s="246">
        <f>+K94+VLOOKUP(A94,'Change in Proportion Layers'!$A$8:$I$321,3,FALSE)+VLOOKUP(A94,'Change in Proportion Layers'!$A$8:$V$321,10,FALSE)+VLOOKUP(A94,'Change in Proportion Layers'!$A$8:$V$321,16,FALSE)+VLOOKUP(A94,'Change in Proportion Layers'!$A$8:$V$321,21,FALSE)</f>
        <v>-183703</v>
      </c>
      <c r="R94" s="246">
        <f>+L94+VLOOKUP(A94,'Change in Proportion Layers'!$A$8:$V$321,4,FALSE)+VLOOKUP(A94,'Change in Proportion Layers'!$A$8:$V$321,11,FALSE)+VLOOKUP(A94,'Change in Proportion Layers'!$A$8:$V$321,17,FALSE)+VLOOKUP(A94,'Change in Proportion Layers'!$A$8:$V$321,22,FALSE)</f>
        <v>-103237</v>
      </c>
      <c r="S94" s="246">
        <f>+M94+VLOOKUP(A94,'Change in Proportion Layers'!$A$8:$V$321,5,FALSE)+VLOOKUP(A94,'Change in Proportion Layers'!$A$8:$V$321,12,FALSE)+VLOOKUP(A94,'Change in Proportion Layers'!$A$8:$V$321,18,FALSE)</f>
        <v>-20618</v>
      </c>
      <c r="T94" s="246">
        <f>+N94+VLOOKUP(A94,'Change in Proportion Layers'!$A$8:$V$321,6,FALSE)+VLOOKUP(A94,'Change in Proportion Layers'!$A$8:$V$321,13,FALSE)</f>
        <v>29558</v>
      </c>
      <c r="U94" s="246">
        <f>+O94+VLOOKUP(A94,'Change in Proportion Layers'!$A$8:$V$321,7,FALSE)+1</f>
        <v>-26246</v>
      </c>
      <c r="W94" s="246">
        <f>('OPEB Amounts_Report'!G94-'OPEB Amounts_Report'!M94)</f>
        <v>-304246</v>
      </c>
      <c r="X94" s="282">
        <f>SUM(Q94:U94)-('OPEB Amounts_Report'!G94-'OPEB Amounts_Report'!M94)</f>
        <v>0</v>
      </c>
    </row>
    <row r="95" spans="1:24" s="8" customFormat="1">
      <c r="A95" s="237">
        <v>11117</v>
      </c>
      <c r="B95" s="238" t="s">
        <v>85</v>
      </c>
      <c r="C95" s="48">
        <f t="shared" si="10"/>
        <v>-205043</v>
      </c>
      <c r="D95" s="48">
        <f t="shared" si="11"/>
        <v>-128331</v>
      </c>
      <c r="E95" s="48">
        <f t="shared" si="12"/>
        <v>-66846</v>
      </c>
      <c r="F95" s="48">
        <f t="shared" si="13"/>
        <v>-4445</v>
      </c>
      <c r="G95" s="48">
        <f t="shared" si="14"/>
        <v>-52009</v>
      </c>
      <c r="I95" s="51"/>
      <c r="K95" s="156">
        <f>ROUND(VLOOKUP($A95,'Contribution Allocation_Report'!$A$9:$D$310,4,FALSE)*$K$323,0)</f>
        <v>-202833</v>
      </c>
      <c r="L95" s="156">
        <f>ROUND(VLOOKUP($A95,'Contribution Allocation_Report'!$A$9:$D$310,4,FALSE)*$L$323,0)</f>
        <v>-127644</v>
      </c>
      <c r="M95" s="156">
        <f>ROUND(VLOOKUP($A95,'Contribution Allocation_Report'!$A$9:$D$310,4,FALSE)*$M$323,0)</f>
        <v>-72525</v>
      </c>
      <c r="N95" s="156">
        <f>ROUND(VLOOKUP($A95,'Contribution Allocation_Report'!$A$9:$D$310,4,FALSE)*$N$323,0)</f>
        <v>-14421</v>
      </c>
      <c r="O95" s="246">
        <f>ROUND(VLOOKUP($A95,'Contribution Allocation_Report'!$A$9:$D$310,4,FALSE)*$O$323,0)</f>
        <v>-59312</v>
      </c>
      <c r="Q95" s="246">
        <f>+K95+VLOOKUP(A95,'Change in Proportion Layers'!$A$8:$I$321,3,FALSE)+VLOOKUP(A95,'Change in Proportion Layers'!$A$8:$V$321,10,FALSE)+VLOOKUP(A95,'Change in Proportion Layers'!$A$8:$V$321,16,FALSE)+VLOOKUP(A95,'Change in Proportion Layers'!$A$8:$V$321,21,FALSE)</f>
        <v>-205043</v>
      </c>
      <c r="R95" s="246">
        <f>+L95+VLOOKUP(A95,'Change in Proportion Layers'!$A$8:$V$321,4,FALSE)+VLOOKUP(A95,'Change in Proportion Layers'!$A$8:$V$321,11,FALSE)+VLOOKUP(A95,'Change in Proportion Layers'!$A$8:$V$321,17,FALSE)+VLOOKUP(A95,'Change in Proportion Layers'!$A$8:$V$321,22,FALSE)</f>
        <v>-128331</v>
      </c>
      <c r="S95" s="246">
        <f>+M95+VLOOKUP(A95,'Change in Proportion Layers'!$A$8:$V$321,5,FALSE)+VLOOKUP(A95,'Change in Proportion Layers'!$A$8:$V$321,12,FALSE)+VLOOKUP(A95,'Change in Proportion Layers'!$A$8:$V$321,18,FALSE)</f>
        <v>-66846</v>
      </c>
      <c r="T95" s="246">
        <f>+N95+VLOOKUP(A95,'Change in Proportion Layers'!$A$8:$V$321,6,FALSE)+VLOOKUP(A95,'Change in Proportion Layers'!$A$8:$V$321,13,FALSE)</f>
        <v>-4445</v>
      </c>
      <c r="U95" s="246">
        <f>+O95+VLOOKUP(A95,'Change in Proportion Layers'!$A$8:$V$321,7,FALSE)+1</f>
        <v>-52009</v>
      </c>
      <c r="W95" s="246">
        <f>('OPEB Amounts_Report'!G95-'OPEB Amounts_Report'!M95)</f>
        <v>-456674</v>
      </c>
      <c r="X95" s="282">
        <f>SUM(Q95:U95)-('OPEB Amounts_Report'!G95-'OPEB Amounts_Report'!M95)</f>
        <v>0</v>
      </c>
    </row>
    <row r="96" spans="1:24" s="8" customFormat="1">
      <c r="A96" s="235">
        <v>16359</v>
      </c>
      <c r="B96" s="236" t="s">
        <v>86</v>
      </c>
      <c r="C96" s="245">
        <f t="shared" si="10"/>
        <v>-17134</v>
      </c>
      <c r="D96" s="245">
        <f t="shared" si="11"/>
        <v>-8752</v>
      </c>
      <c r="E96" s="245">
        <f t="shared" si="12"/>
        <v>-6044</v>
      </c>
      <c r="F96" s="245">
        <f t="shared" si="13"/>
        <v>9351</v>
      </c>
      <c r="G96" s="245">
        <f t="shared" si="14"/>
        <v>-509</v>
      </c>
      <c r="I96" s="51"/>
      <c r="K96" s="156">
        <f>ROUND(VLOOKUP($A96,'Contribution Allocation_Report'!$A$9:$D$310,4,FALSE)*$K$323,0)</f>
        <v>-32673</v>
      </c>
      <c r="L96" s="156">
        <f>ROUND(VLOOKUP($A96,'Contribution Allocation_Report'!$A$9:$D$310,4,FALSE)*$L$323,0)</f>
        <v>-20561</v>
      </c>
      <c r="M96" s="156">
        <f>ROUND(VLOOKUP($A96,'Contribution Allocation_Report'!$A$9:$D$310,4,FALSE)*$M$323,0)</f>
        <v>-11682</v>
      </c>
      <c r="N96" s="156">
        <f>ROUND(VLOOKUP($A96,'Contribution Allocation_Report'!$A$9:$D$310,4,FALSE)*$N$323,0)</f>
        <v>-2323</v>
      </c>
      <c r="O96" s="246">
        <f>ROUND(VLOOKUP($A96,'Contribution Allocation_Report'!$A$9:$D$310,4,FALSE)*$O$323,0)</f>
        <v>-9554</v>
      </c>
      <c r="Q96" s="246">
        <f>+K96+VLOOKUP(A96,'Change in Proportion Layers'!$A$8:$I$321,3,FALSE)+VLOOKUP(A96,'Change in Proportion Layers'!$A$8:$V$321,10,FALSE)+VLOOKUP(A96,'Change in Proportion Layers'!$A$8:$V$321,16,FALSE)+VLOOKUP(A96,'Change in Proportion Layers'!$A$8:$V$321,21,FALSE)</f>
        <v>-17134</v>
      </c>
      <c r="R96" s="246">
        <f>+L96+VLOOKUP(A96,'Change in Proportion Layers'!$A$8:$V$321,4,FALSE)+VLOOKUP(A96,'Change in Proportion Layers'!$A$8:$V$321,11,FALSE)+VLOOKUP(A96,'Change in Proportion Layers'!$A$8:$V$321,17,FALSE)+VLOOKUP(A96,'Change in Proportion Layers'!$A$8:$V$321,22,FALSE)</f>
        <v>-8752</v>
      </c>
      <c r="S96" s="246">
        <f>+M96+VLOOKUP(A96,'Change in Proportion Layers'!$A$8:$V$321,5,FALSE)+VLOOKUP(A96,'Change in Proportion Layers'!$A$8:$V$321,12,FALSE)+VLOOKUP(A96,'Change in Proportion Layers'!$A$8:$V$321,18,FALSE)</f>
        <v>-6044</v>
      </c>
      <c r="T96" s="246">
        <f>+N96+VLOOKUP(A96,'Change in Proportion Layers'!$A$8:$V$321,6,FALSE)+VLOOKUP(A96,'Change in Proportion Layers'!$A$8:$V$321,13,FALSE)</f>
        <v>9351</v>
      </c>
      <c r="U96" s="246">
        <f>+O96+VLOOKUP(A96,'Change in Proportion Layers'!$A$8:$V$321,7,FALSE)-2</f>
        <v>-509</v>
      </c>
      <c r="W96" s="246">
        <f>('OPEB Amounts_Report'!G96-'OPEB Amounts_Report'!M96)</f>
        <v>-23088</v>
      </c>
      <c r="X96" s="282">
        <f>SUM(Q96:U96)-('OPEB Amounts_Report'!G96-'OPEB Amounts_Report'!M96)</f>
        <v>0</v>
      </c>
    </row>
    <row r="97" spans="1:24" s="8" customFormat="1">
      <c r="A97" s="237">
        <v>17115</v>
      </c>
      <c r="B97" s="238" t="s">
        <v>87</v>
      </c>
      <c r="C97" s="48">
        <f t="shared" si="10"/>
        <v>-557844</v>
      </c>
      <c r="D97" s="48">
        <f t="shared" si="11"/>
        <v>-359286</v>
      </c>
      <c r="E97" s="48">
        <f t="shared" si="12"/>
        <v>-254519</v>
      </c>
      <c r="F97" s="48">
        <f t="shared" si="13"/>
        <v>-129366</v>
      </c>
      <c r="G97" s="48">
        <f t="shared" si="14"/>
        <v>-263173</v>
      </c>
      <c r="I97" s="51"/>
      <c r="K97" s="156">
        <f>ROUND(VLOOKUP($A97,'Contribution Allocation_Report'!$A$9:$D$310,4,FALSE)*$K$323,0)</f>
        <v>-565325</v>
      </c>
      <c r="L97" s="156">
        <f>ROUND(VLOOKUP($A97,'Contribution Allocation_Report'!$A$9:$D$310,4,FALSE)*$L$323,0)</f>
        <v>-355763</v>
      </c>
      <c r="M97" s="156">
        <f>ROUND(VLOOKUP($A97,'Contribution Allocation_Report'!$A$9:$D$310,4,FALSE)*$M$323,0)</f>
        <v>-202138</v>
      </c>
      <c r="N97" s="156">
        <f>ROUND(VLOOKUP($A97,'Contribution Allocation_Report'!$A$9:$D$310,4,FALSE)*$N$323,0)</f>
        <v>-40195</v>
      </c>
      <c r="O97" s="246">
        <f>ROUND(VLOOKUP($A97,'Contribution Allocation_Report'!$A$9:$D$310,4,FALSE)*$O$323,0)</f>
        <v>-165311</v>
      </c>
      <c r="Q97" s="246">
        <f>+K97+VLOOKUP(A97,'Change in Proportion Layers'!$A$8:$I$321,3,FALSE)+VLOOKUP(A97,'Change in Proportion Layers'!$A$8:$V$321,10,FALSE)+VLOOKUP(A97,'Change in Proportion Layers'!$A$8:$V$321,16,FALSE)+VLOOKUP(A97,'Change in Proportion Layers'!$A$8:$V$321,21,FALSE)</f>
        <v>-557844</v>
      </c>
      <c r="R97" s="246">
        <f>+L97+VLOOKUP(A97,'Change in Proportion Layers'!$A$8:$V$321,4,FALSE)+VLOOKUP(A97,'Change in Proportion Layers'!$A$8:$V$321,11,FALSE)+VLOOKUP(A97,'Change in Proportion Layers'!$A$8:$V$321,17,FALSE)+VLOOKUP(A97,'Change in Proportion Layers'!$A$8:$V$321,22,FALSE)</f>
        <v>-359286</v>
      </c>
      <c r="S97" s="246">
        <f>+M97+VLOOKUP(A97,'Change in Proportion Layers'!$A$8:$V$321,5,FALSE)+VLOOKUP(A97,'Change in Proportion Layers'!$A$8:$V$321,12,FALSE)+VLOOKUP(A97,'Change in Proportion Layers'!$A$8:$V$321,18,FALSE)</f>
        <v>-254519</v>
      </c>
      <c r="T97" s="246">
        <f>+N97+VLOOKUP(A97,'Change in Proportion Layers'!$A$8:$V$321,6,FALSE)+VLOOKUP(A97,'Change in Proportion Layers'!$A$8:$V$321,13,FALSE)</f>
        <v>-129366</v>
      </c>
      <c r="U97" s="246">
        <f>+O97+VLOOKUP(A97,'Change in Proportion Layers'!$A$8:$V$321,7,FALSE)+1</f>
        <v>-263173</v>
      </c>
      <c r="W97" s="246">
        <f>('OPEB Amounts_Report'!G97-'OPEB Amounts_Report'!M97)</f>
        <v>-1564188</v>
      </c>
      <c r="X97" s="282">
        <f>SUM(Q97:U97)-('OPEB Amounts_Report'!G97-'OPEB Amounts_Report'!M97)</f>
        <v>0</v>
      </c>
    </row>
    <row r="98" spans="1:24" s="8" customFormat="1">
      <c r="A98" s="235">
        <v>32117</v>
      </c>
      <c r="B98" s="236" t="s">
        <v>88</v>
      </c>
      <c r="C98" s="245">
        <f t="shared" si="10"/>
        <v>-3763</v>
      </c>
      <c r="D98" s="245">
        <f t="shared" si="11"/>
        <v>4750</v>
      </c>
      <c r="E98" s="245">
        <f t="shared" si="12"/>
        <v>1734</v>
      </c>
      <c r="F98" s="245">
        <f t="shared" si="13"/>
        <v>12986</v>
      </c>
      <c r="G98" s="245">
        <f t="shared" si="14"/>
        <v>-6121</v>
      </c>
      <c r="I98" s="51"/>
      <c r="K98" s="156">
        <f>ROUND(VLOOKUP($A98,'Contribution Allocation_Report'!$A$9:$D$310,4,FALSE)*$K$323,0)</f>
        <v>-37220</v>
      </c>
      <c r="L98" s="156">
        <f>ROUND(VLOOKUP($A98,'Contribution Allocation_Report'!$A$9:$D$310,4,FALSE)*$L$323,0)</f>
        <v>-23423</v>
      </c>
      <c r="M98" s="156">
        <f>ROUND(VLOOKUP($A98,'Contribution Allocation_Report'!$A$9:$D$310,4,FALSE)*$M$323,0)</f>
        <v>-13308</v>
      </c>
      <c r="N98" s="156">
        <f>ROUND(VLOOKUP($A98,'Contribution Allocation_Report'!$A$9:$D$310,4,FALSE)*$N$323,0)</f>
        <v>-2646</v>
      </c>
      <c r="O98" s="246">
        <f>ROUND(VLOOKUP($A98,'Contribution Allocation_Report'!$A$9:$D$310,4,FALSE)*$O$323,0)</f>
        <v>-10884</v>
      </c>
      <c r="Q98" s="246">
        <f>+K98+VLOOKUP(A98,'Change in Proportion Layers'!$A$8:$I$321,3,FALSE)+VLOOKUP(A98,'Change in Proportion Layers'!$A$8:$V$321,10,FALSE)+VLOOKUP(A98,'Change in Proportion Layers'!$A$8:$V$321,16,FALSE)+VLOOKUP(A98,'Change in Proportion Layers'!$A$8:$V$321,21,FALSE)</f>
        <v>-3763</v>
      </c>
      <c r="R98" s="246">
        <f>+L98+VLOOKUP(A98,'Change in Proportion Layers'!$A$8:$V$321,4,FALSE)+VLOOKUP(A98,'Change in Proportion Layers'!$A$8:$V$321,11,FALSE)+VLOOKUP(A98,'Change in Proportion Layers'!$A$8:$V$321,17,FALSE)+VLOOKUP(A98,'Change in Proportion Layers'!$A$8:$V$321,22,FALSE)</f>
        <v>4750</v>
      </c>
      <c r="S98" s="246">
        <f>+M98+VLOOKUP(A98,'Change in Proportion Layers'!$A$8:$V$321,5,FALSE)+VLOOKUP(A98,'Change in Proportion Layers'!$A$8:$V$321,12,FALSE)+VLOOKUP(A98,'Change in Proportion Layers'!$A$8:$V$321,18,FALSE)</f>
        <v>1734</v>
      </c>
      <c r="T98" s="246">
        <f>+N98+VLOOKUP(A98,'Change in Proportion Layers'!$A$8:$V$321,6,FALSE)+VLOOKUP(A98,'Change in Proportion Layers'!$A$8:$V$321,13,FALSE)</f>
        <v>12986</v>
      </c>
      <c r="U98" s="246">
        <f>+O98+VLOOKUP(A98,'Change in Proportion Layers'!$A$8:$V$321,7,FALSE)-1</f>
        <v>-6121</v>
      </c>
      <c r="W98" s="246">
        <f>('OPEB Amounts_Report'!G98-'OPEB Amounts_Report'!M98)</f>
        <v>9586</v>
      </c>
      <c r="X98" s="282">
        <f>SUM(Q98:U98)-('OPEB Amounts_Report'!G98-'OPEB Amounts_Report'!M98)</f>
        <v>0</v>
      </c>
    </row>
    <row r="99" spans="1:24" s="8" customFormat="1">
      <c r="A99" s="237">
        <v>2304</v>
      </c>
      <c r="B99" s="238" t="s">
        <v>89</v>
      </c>
      <c r="C99" s="48">
        <f t="shared" si="10"/>
        <v>-200432</v>
      </c>
      <c r="D99" s="48">
        <f t="shared" si="11"/>
        <v>-118647</v>
      </c>
      <c r="E99" s="48">
        <f t="shared" si="12"/>
        <v>-59375</v>
      </c>
      <c r="F99" s="48">
        <f t="shared" si="13"/>
        <v>120</v>
      </c>
      <c r="G99" s="48">
        <f t="shared" si="14"/>
        <v>-52297</v>
      </c>
      <c r="I99" s="51"/>
      <c r="K99" s="156">
        <f>ROUND(VLOOKUP($A99,'Contribution Allocation_Report'!$A$9:$D$310,4,FALSE)*$K$323,0)</f>
        <v>-219005</v>
      </c>
      <c r="L99" s="156">
        <f>ROUND(VLOOKUP($A99,'Contribution Allocation_Report'!$A$9:$D$310,4,FALSE)*$L$323,0)</f>
        <v>-137821</v>
      </c>
      <c r="M99" s="156">
        <f>ROUND(VLOOKUP($A99,'Contribution Allocation_Report'!$A$9:$D$310,4,FALSE)*$M$323,0)</f>
        <v>-78307</v>
      </c>
      <c r="N99" s="156">
        <f>ROUND(VLOOKUP($A99,'Contribution Allocation_Report'!$A$9:$D$310,4,FALSE)*$N$323,0)</f>
        <v>-15571</v>
      </c>
      <c r="O99" s="246">
        <f>ROUND(VLOOKUP($A99,'Contribution Allocation_Report'!$A$9:$D$310,4,FALSE)*$O$323,0)</f>
        <v>-64041</v>
      </c>
      <c r="Q99" s="246">
        <f>+K99+VLOOKUP(A99,'Change in Proportion Layers'!$A$8:$I$321,3,FALSE)+VLOOKUP(A99,'Change in Proportion Layers'!$A$8:$V$321,10,FALSE)+VLOOKUP(A99,'Change in Proportion Layers'!$A$8:$V$321,16,FALSE)+VLOOKUP(A99,'Change in Proportion Layers'!$A$8:$V$321,21,FALSE)</f>
        <v>-200432</v>
      </c>
      <c r="R99" s="246">
        <f>+L99+VLOOKUP(A99,'Change in Proportion Layers'!$A$8:$V$321,4,FALSE)+VLOOKUP(A99,'Change in Proportion Layers'!$A$8:$V$321,11,FALSE)+VLOOKUP(A99,'Change in Proportion Layers'!$A$8:$V$321,17,FALSE)+VLOOKUP(A99,'Change in Proportion Layers'!$A$8:$V$321,22,FALSE)</f>
        <v>-118647</v>
      </c>
      <c r="S99" s="246">
        <f>+M99+VLOOKUP(A99,'Change in Proportion Layers'!$A$8:$V$321,5,FALSE)+VLOOKUP(A99,'Change in Proportion Layers'!$A$8:$V$321,12,FALSE)+VLOOKUP(A99,'Change in Proportion Layers'!$A$8:$V$321,18,FALSE)</f>
        <v>-59375</v>
      </c>
      <c r="T99" s="246">
        <f>+N99+VLOOKUP(A99,'Change in Proportion Layers'!$A$8:$V$321,6,FALSE)+VLOOKUP(A99,'Change in Proportion Layers'!$A$8:$V$321,13,FALSE)</f>
        <v>120</v>
      </c>
      <c r="U99" s="246">
        <f>+O99+VLOOKUP(A99,'Change in Proportion Layers'!$A$8:$V$321,7,FALSE)-1</f>
        <v>-52297</v>
      </c>
      <c r="W99" s="246">
        <f>('OPEB Amounts_Report'!G99-'OPEB Amounts_Report'!M99)</f>
        <v>-430631</v>
      </c>
      <c r="X99" s="282">
        <f>SUM(Q99:U99)-('OPEB Amounts_Report'!G99-'OPEB Amounts_Report'!M99)</f>
        <v>0</v>
      </c>
    </row>
    <row r="100" spans="1:24" s="8" customFormat="1">
      <c r="A100" s="235">
        <v>11101</v>
      </c>
      <c r="B100" s="236" t="s">
        <v>91</v>
      </c>
      <c r="C100" s="245">
        <f t="shared" si="10"/>
        <v>-3780899</v>
      </c>
      <c r="D100" s="245">
        <f t="shared" si="11"/>
        <v>-2726597</v>
      </c>
      <c r="E100" s="245">
        <f t="shared" si="12"/>
        <v>-1677491</v>
      </c>
      <c r="F100" s="245">
        <f t="shared" si="13"/>
        <v>-182027</v>
      </c>
      <c r="G100" s="245">
        <f t="shared" si="14"/>
        <v>-1017287</v>
      </c>
      <c r="I100" s="51"/>
      <c r="K100" s="156">
        <f>ROUND(VLOOKUP($A100,'Contribution Allocation_Report'!$A$9:$D$310,4,FALSE)*$K$323,0)</f>
        <v>-2973208</v>
      </c>
      <c r="L100" s="156">
        <f>ROUND(VLOOKUP($A100,'Contribution Allocation_Report'!$A$9:$D$310,4,FALSE)*$L$323,0)</f>
        <v>-1871058</v>
      </c>
      <c r="M100" s="156">
        <f>ROUND(VLOOKUP($A100,'Contribution Allocation_Report'!$A$9:$D$310,4,FALSE)*$M$323,0)</f>
        <v>-1063101</v>
      </c>
      <c r="N100" s="156">
        <f>ROUND(VLOOKUP($A100,'Contribution Allocation_Report'!$A$9:$D$310,4,FALSE)*$N$323,0)</f>
        <v>-211395</v>
      </c>
      <c r="O100" s="246">
        <f>ROUND(VLOOKUP($A100,'Contribution Allocation_Report'!$A$9:$D$310,4,FALSE)*$O$323,0)</f>
        <v>-869420</v>
      </c>
      <c r="Q100" s="246">
        <f>+K100+VLOOKUP(A100,'Change in Proportion Layers'!$A$8:$I$321,3,FALSE)+VLOOKUP(A100,'Change in Proportion Layers'!$A$8:$V$321,10,FALSE)+VLOOKUP(A100,'Change in Proportion Layers'!$A$8:$V$321,16,FALSE)+VLOOKUP(A100,'Change in Proportion Layers'!$A$8:$V$321,21,FALSE)</f>
        <v>-3780899</v>
      </c>
      <c r="R100" s="246">
        <f>+L100+VLOOKUP(A100,'Change in Proportion Layers'!$A$8:$V$321,4,FALSE)+VLOOKUP(A100,'Change in Proportion Layers'!$A$8:$V$321,11,FALSE)+VLOOKUP(A100,'Change in Proportion Layers'!$A$8:$V$321,17,FALSE)+VLOOKUP(A100,'Change in Proportion Layers'!$A$8:$V$321,22,FALSE)</f>
        <v>-2726597</v>
      </c>
      <c r="S100" s="246">
        <f>+M100+VLOOKUP(A100,'Change in Proportion Layers'!$A$8:$V$321,5,FALSE)+VLOOKUP(A100,'Change in Proportion Layers'!$A$8:$V$321,12,FALSE)+VLOOKUP(A100,'Change in Proportion Layers'!$A$8:$V$321,18,FALSE)</f>
        <v>-1677491</v>
      </c>
      <c r="T100" s="246">
        <f>+N100+VLOOKUP(A100,'Change in Proportion Layers'!$A$8:$V$321,6,FALSE)+VLOOKUP(A100,'Change in Proportion Layers'!$A$8:$V$321,13,FALSE)</f>
        <v>-182027</v>
      </c>
      <c r="U100" s="246">
        <f>+O100+VLOOKUP(A100,'Change in Proportion Layers'!$A$8:$V$321,7,FALSE)</f>
        <v>-1017287</v>
      </c>
      <c r="W100" s="246">
        <f>('OPEB Amounts_Report'!G100-'OPEB Amounts_Report'!M100)</f>
        <v>-9384301</v>
      </c>
      <c r="X100" s="282">
        <f>SUM(Q100:U100)-('OPEB Amounts_Report'!G100-'OPEB Amounts_Report'!M100)</f>
        <v>0</v>
      </c>
    </row>
    <row r="101" spans="1:24" s="8" customFormat="1">
      <c r="A101" s="237">
        <v>11102</v>
      </c>
      <c r="B101" s="238" t="s">
        <v>90</v>
      </c>
      <c r="C101" s="48">
        <f t="shared" si="10"/>
        <v>-1268398</v>
      </c>
      <c r="D101" s="48">
        <f t="shared" si="11"/>
        <v>-923304</v>
      </c>
      <c r="E101" s="48">
        <f t="shared" si="12"/>
        <v>-649040</v>
      </c>
      <c r="F101" s="48">
        <f t="shared" si="13"/>
        <v>-337701</v>
      </c>
      <c r="G101" s="48">
        <f t="shared" si="14"/>
        <v>-353525</v>
      </c>
      <c r="I101" s="51"/>
      <c r="K101" s="156">
        <f>ROUND(VLOOKUP($A101,'Contribution Allocation_Report'!$A$9:$D$310,4,FALSE)*$K$323,0)</f>
        <v>-932927</v>
      </c>
      <c r="L101" s="156">
        <f>ROUND(VLOOKUP($A101,'Contribution Allocation_Report'!$A$9:$D$310,4,FALSE)*$L$323,0)</f>
        <v>-587097</v>
      </c>
      <c r="M101" s="156">
        <f>ROUND(VLOOKUP($A101,'Contribution Allocation_Report'!$A$9:$D$310,4,FALSE)*$M$323,0)</f>
        <v>-333578</v>
      </c>
      <c r="N101" s="156">
        <f>ROUND(VLOOKUP($A101,'Contribution Allocation_Report'!$A$9:$D$310,4,FALSE)*$N$323,0)</f>
        <v>-66331</v>
      </c>
      <c r="O101" s="246">
        <f>ROUND(VLOOKUP($A101,'Contribution Allocation_Report'!$A$9:$D$310,4,FALSE)*$O$323,0)</f>
        <v>-272805</v>
      </c>
      <c r="Q101" s="246">
        <f>+K101+VLOOKUP(A101,'Change in Proportion Layers'!$A$8:$I$321,3,FALSE)+VLOOKUP(A101,'Change in Proportion Layers'!$A$8:$V$321,10,FALSE)+VLOOKUP(A101,'Change in Proportion Layers'!$A$8:$V$321,16,FALSE)+VLOOKUP(A101,'Change in Proportion Layers'!$A$8:$V$321,21,FALSE)</f>
        <v>-1268398</v>
      </c>
      <c r="R101" s="246">
        <f>+L101+VLOOKUP(A101,'Change in Proportion Layers'!$A$8:$V$321,4,FALSE)+VLOOKUP(A101,'Change in Proportion Layers'!$A$8:$V$321,11,FALSE)+VLOOKUP(A101,'Change in Proportion Layers'!$A$8:$V$321,17,FALSE)+VLOOKUP(A101,'Change in Proportion Layers'!$A$8:$V$321,22,FALSE)</f>
        <v>-923304</v>
      </c>
      <c r="S101" s="246">
        <f>+M101+VLOOKUP(A101,'Change in Proportion Layers'!$A$8:$V$321,5,FALSE)+VLOOKUP(A101,'Change in Proportion Layers'!$A$8:$V$321,12,FALSE)+VLOOKUP(A101,'Change in Proportion Layers'!$A$8:$V$321,18,FALSE)</f>
        <v>-649040</v>
      </c>
      <c r="T101" s="246">
        <f>+N101+VLOOKUP(A101,'Change in Proportion Layers'!$A$8:$V$321,6,FALSE)+VLOOKUP(A101,'Change in Proportion Layers'!$A$8:$V$321,13,FALSE)</f>
        <v>-337701</v>
      </c>
      <c r="U101" s="246">
        <f>+O101+VLOOKUP(A101,'Change in Proportion Layers'!$A$8:$V$321,7,FALSE)</f>
        <v>-353525</v>
      </c>
      <c r="W101" s="246">
        <f>('OPEB Amounts_Report'!G101-'OPEB Amounts_Report'!M101)</f>
        <v>-3531968</v>
      </c>
      <c r="X101" s="282">
        <f>SUM(Q101:U101)-('OPEB Amounts_Report'!G101-'OPEB Amounts_Report'!M101)</f>
        <v>0</v>
      </c>
    </row>
    <row r="102" spans="1:24" s="8" customFormat="1">
      <c r="A102" s="235">
        <v>3100</v>
      </c>
      <c r="B102" s="236" t="s">
        <v>92</v>
      </c>
      <c r="C102" s="245">
        <f t="shared" si="10"/>
        <v>-1728274</v>
      </c>
      <c r="D102" s="245">
        <f t="shared" si="11"/>
        <v>-961343</v>
      </c>
      <c r="E102" s="245">
        <f t="shared" si="12"/>
        <v>-483371</v>
      </c>
      <c r="F102" s="245">
        <f t="shared" si="13"/>
        <v>36974</v>
      </c>
      <c r="G102" s="245">
        <f t="shared" si="14"/>
        <v>-325672</v>
      </c>
      <c r="I102" s="51"/>
      <c r="K102" s="156">
        <f>ROUND(VLOOKUP($A102,'Contribution Allocation_Report'!$A$9:$D$310,4,FALSE)*$K$323,0)</f>
        <v>-2119079</v>
      </c>
      <c r="L102" s="156">
        <f>ROUND(VLOOKUP($A102,'Contribution Allocation_Report'!$A$9:$D$310,4,FALSE)*$L$323,0)</f>
        <v>-1333550</v>
      </c>
      <c r="M102" s="156">
        <f>ROUND(VLOOKUP($A102,'Contribution Allocation_Report'!$A$9:$D$310,4,FALSE)*$M$323,0)</f>
        <v>-757698</v>
      </c>
      <c r="N102" s="156">
        <f>ROUND(VLOOKUP($A102,'Contribution Allocation_Report'!$A$9:$D$310,4,FALSE)*$N$323,0)</f>
        <v>-150667</v>
      </c>
      <c r="O102" s="246">
        <f>ROUND(VLOOKUP($A102,'Contribution Allocation_Report'!$A$9:$D$310,4,FALSE)*$O$323,0)</f>
        <v>-619657</v>
      </c>
      <c r="Q102" s="246">
        <f>+K102+VLOOKUP(A102,'Change in Proportion Layers'!$A$8:$I$321,3,FALSE)+VLOOKUP(A102,'Change in Proportion Layers'!$A$8:$V$321,10,FALSE)+VLOOKUP(A102,'Change in Proportion Layers'!$A$8:$V$321,16,FALSE)+VLOOKUP(A102,'Change in Proportion Layers'!$A$8:$V$321,21,FALSE)</f>
        <v>-1728274</v>
      </c>
      <c r="R102" s="246">
        <f>+L102+VLOOKUP(A102,'Change in Proportion Layers'!$A$8:$V$321,4,FALSE)+VLOOKUP(A102,'Change in Proportion Layers'!$A$8:$V$321,11,FALSE)+VLOOKUP(A102,'Change in Proportion Layers'!$A$8:$V$321,17,FALSE)+VLOOKUP(A102,'Change in Proportion Layers'!$A$8:$V$321,22,FALSE)</f>
        <v>-961343</v>
      </c>
      <c r="S102" s="246">
        <f>+M102+VLOOKUP(A102,'Change in Proportion Layers'!$A$8:$V$321,5,FALSE)+VLOOKUP(A102,'Change in Proportion Layers'!$A$8:$V$321,12,FALSE)+VLOOKUP(A102,'Change in Proportion Layers'!$A$8:$V$321,18,FALSE)</f>
        <v>-483371</v>
      </c>
      <c r="T102" s="246">
        <f>+N102+VLOOKUP(A102,'Change in Proportion Layers'!$A$8:$V$321,6,FALSE)+VLOOKUP(A102,'Change in Proportion Layers'!$A$8:$V$321,13,FALSE)</f>
        <v>36974</v>
      </c>
      <c r="U102" s="246">
        <f>+O102+VLOOKUP(A102,'Change in Proportion Layers'!$A$8:$V$321,7,FALSE)</f>
        <v>-325672</v>
      </c>
      <c r="W102" s="246">
        <f>('OPEB Amounts_Report'!G102-'OPEB Amounts_Report'!M102)</f>
        <v>-3461686</v>
      </c>
      <c r="X102" s="282">
        <f>SUM(Q102:U102)-('OPEB Amounts_Report'!G102-'OPEB Amounts_Report'!M102)</f>
        <v>0</v>
      </c>
    </row>
    <row r="103" spans="1:24" s="8" customFormat="1">
      <c r="A103" s="237">
        <v>2323</v>
      </c>
      <c r="B103" s="238" t="s">
        <v>93</v>
      </c>
      <c r="C103" s="48">
        <f t="shared" si="10"/>
        <v>-179414</v>
      </c>
      <c r="D103" s="48">
        <f t="shared" si="11"/>
        <v>-101952</v>
      </c>
      <c r="E103" s="48">
        <f t="shared" si="12"/>
        <v>-36775</v>
      </c>
      <c r="F103" s="48">
        <f t="shared" si="13"/>
        <v>26936</v>
      </c>
      <c r="G103" s="48">
        <f t="shared" si="14"/>
        <v>-58790</v>
      </c>
      <c r="I103" s="51"/>
      <c r="K103" s="156">
        <f>ROUND(VLOOKUP($A103,'Contribution Allocation_Report'!$A$9:$D$310,4,FALSE)*$K$323,0)</f>
        <v>-202130</v>
      </c>
      <c r="L103" s="156">
        <f>ROUND(VLOOKUP($A103,'Contribution Allocation_Report'!$A$9:$D$310,4,FALSE)*$L$323,0)</f>
        <v>-127201</v>
      </c>
      <c r="M103" s="156">
        <f>ROUND(VLOOKUP($A103,'Contribution Allocation_Report'!$A$9:$D$310,4,FALSE)*$M$323,0)</f>
        <v>-72273</v>
      </c>
      <c r="N103" s="156">
        <f>ROUND(VLOOKUP($A103,'Contribution Allocation_Report'!$A$9:$D$310,4,FALSE)*$N$323,0)</f>
        <v>-14371</v>
      </c>
      <c r="O103" s="246">
        <f>ROUND(VLOOKUP($A103,'Contribution Allocation_Report'!$A$9:$D$310,4,FALSE)*$O$323,0)</f>
        <v>-59106</v>
      </c>
      <c r="Q103" s="246">
        <f>+K103+VLOOKUP(A103,'Change in Proportion Layers'!$A$8:$I$321,3,FALSE)+VLOOKUP(A103,'Change in Proportion Layers'!$A$8:$V$321,10,FALSE)+VLOOKUP(A103,'Change in Proportion Layers'!$A$8:$V$321,16,FALSE)+VLOOKUP(A103,'Change in Proportion Layers'!$A$8:$V$321,21,FALSE)</f>
        <v>-179414</v>
      </c>
      <c r="R103" s="246">
        <f>+L103+VLOOKUP(A103,'Change in Proportion Layers'!$A$8:$V$321,4,FALSE)+VLOOKUP(A103,'Change in Proportion Layers'!$A$8:$V$321,11,FALSE)+VLOOKUP(A103,'Change in Proportion Layers'!$A$8:$V$321,17,FALSE)+VLOOKUP(A103,'Change in Proportion Layers'!$A$8:$V$321,22,FALSE)</f>
        <v>-101952</v>
      </c>
      <c r="S103" s="246">
        <f>+M103+VLOOKUP(A103,'Change in Proportion Layers'!$A$8:$V$321,5,FALSE)+VLOOKUP(A103,'Change in Proportion Layers'!$A$8:$V$321,12,FALSE)+VLOOKUP(A103,'Change in Proportion Layers'!$A$8:$V$321,18,FALSE)</f>
        <v>-36775</v>
      </c>
      <c r="T103" s="246">
        <f>+N103+VLOOKUP(A103,'Change in Proportion Layers'!$A$8:$V$321,6,FALSE)+VLOOKUP(A103,'Change in Proportion Layers'!$A$8:$V$321,13,FALSE)</f>
        <v>26936</v>
      </c>
      <c r="U103" s="246">
        <f>+O103+VLOOKUP(A103,'Change in Proportion Layers'!$A$8:$V$321,7,FALSE)-1</f>
        <v>-58790</v>
      </c>
      <c r="W103" s="246">
        <f>('OPEB Amounts_Report'!G103-'OPEB Amounts_Report'!M103)</f>
        <v>-349995</v>
      </c>
      <c r="X103" s="282">
        <f>SUM(Q103:U103)-('OPEB Amounts_Report'!G103-'OPEB Amounts_Report'!M103)</f>
        <v>0</v>
      </c>
    </row>
    <row r="104" spans="1:24" s="8" customFormat="1">
      <c r="A104" s="235">
        <v>11034</v>
      </c>
      <c r="B104" s="236" t="s">
        <v>94</v>
      </c>
      <c r="C104" s="245">
        <f t="shared" si="10"/>
        <v>-95742</v>
      </c>
      <c r="D104" s="245">
        <f t="shared" si="11"/>
        <v>-34342</v>
      </c>
      <c r="E104" s="245">
        <f t="shared" si="12"/>
        <v>-310</v>
      </c>
      <c r="F104" s="245">
        <f t="shared" si="13"/>
        <v>-491</v>
      </c>
      <c r="G104" s="245">
        <f t="shared" si="14"/>
        <v>-46015</v>
      </c>
      <c r="I104" s="51"/>
      <c r="K104" s="156">
        <f>ROUND(VLOOKUP($A104,'Contribution Allocation_Report'!$A$9:$D$310,4,FALSE)*$K$323,0)</f>
        <v>-147050</v>
      </c>
      <c r="L104" s="156">
        <f>ROUND(VLOOKUP($A104,'Contribution Allocation_Report'!$A$9:$D$310,4,FALSE)*$L$323,0)</f>
        <v>-92540</v>
      </c>
      <c r="M104" s="156">
        <f>ROUND(VLOOKUP($A104,'Contribution Allocation_Report'!$A$9:$D$310,4,FALSE)*$M$323,0)</f>
        <v>-52579</v>
      </c>
      <c r="N104" s="156">
        <f>ROUND(VLOOKUP($A104,'Contribution Allocation_Report'!$A$9:$D$310,4,FALSE)*$N$323,0)</f>
        <v>-10455</v>
      </c>
      <c r="O104" s="246">
        <f>ROUND(VLOOKUP($A104,'Contribution Allocation_Report'!$A$9:$D$310,4,FALSE)*$O$323,0)</f>
        <v>-43000</v>
      </c>
      <c r="Q104" s="246">
        <f>+K104+VLOOKUP(A104,'Change in Proportion Layers'!$A$8:$I$321,3,FALSE)+VLOOKUP(A104,'Change in Proportion Layers'!$A$8:$V$321,10,FALSE)+VLOOKUP(A104,'Change in Proportion Layers'!$A$8:$V$321,16,FALSE)+VLOOKUP(A104,'Change in Proportion Layers'!$A$8:$V$321,21,FALSE)</f>
        <v>-95742</v>
      </c>
      <c r="R104" s="246">
        <f>+L104+VLOOKUP(A104,'Change in Proportion Layers'!$A$8:$V$321,4,FALSE)+VLOOKUP(A104,'Change in Proportion Layers'!$A$8:$V$321,11,FALSE)+VLOOKUP(A104,'Change in Proportion Layers'!$A$8:$V$321,17,FALSE)+VLOOKUP(A104,'Change in Proportion Layers'!$A$8:$V$321,22,FALSE)</f>
        <v>-34342</v>
      </c>
      <c r="S104" s="246">
        <f>+M104+VLOOKUP(A104,'Change in Proportion Layers'!$A$8:$V$321,5,FALSE)+VLOOKUP(A104,'Change in Proportion Layers'!$A$8:$V$321,12,FALSE)+VLOOKUP(A104,'Change in Proportion Layers'!$A$8:$V$321,18,FALSE)</f>
        <v>-310</v>
      </c>
      <c r="T104" s="246">
        <f>+N104+VLOOKUP(A104,'Change in Proportion Layers'!$A$8:$V$321,6,FALSE)+VLOOKUP(A104,'Change in Proportion Layers'!$A$8:$V$321,13,FALSE)</f>
        <v>-491</v>
      </c>
      <c r="U104" s="246">
        <f>+O104+VLOOKUP(A104,'Change in Proportion Layers'!$A$8:$V$321,7,FALSE)-1</f>
        <v>-46015</v>
      </c>
      <c r="W104" s="246">
        <f>('OPEB Amounts_Report'!G104-'OPEB Amounts_Report'!M104)</f>
        <v>-176900</v>
      </c>
      <c r="X104" s="282">
        <f>SUM(Q104:U104)-('OPEB Amounts_Report'!G104-'OPEB Amounts_Report'!M104)</f>
        <v>0</v>
      </c>
    </row>
    <row r="105" spans="1:24" s="8" customFormat="1">
      <c r="A105" s="237">
        <v>17054</v>
      </c>
      <c r="B105" s="238" t="s">
        <v>95</v>
      </c>
      <c r="C105" s="48">
        <f t="shared" si="10"/>
        <v>-1089434</v>
      </c>
      <c r="D105" s="48">
        <f t="shared" si="11"/>
        <v>-562872</v>
      </c>
      <c r="E105" s="48">
        <f t="shared" si="12"/>
        <v>-746184</v>
      </c>
      <c r="F105" s="48">
        <f t="shared" si="13"/>
        <v>-73634</v>
      </c>
      <c r="G105" s="48">
        <f t="shared" si="14"/>
        <v>-649620</v>
      </c>
      <c r="I105" s="51"/>
      <c r="K105" s="156">
        <f>ROUND(VLOOKUP($A105,'Contribution Allocation_Report'!$A$9:$D$310,4,FALSE)*$K$323,0)</f>
        <v>-2274474</v>
      </c>
      <c r="L105" s="156">
        <f>ROUND(VLOOKUP($A105,'Contribution Allocation_Report'!$A$9:$D$310,4,FALSE)*$L$323,0)</f>
        <v>-1431340</v>
      </c>
      <c r="M105" s="156">
        <f>ROUND(VLOOKUP($A105,'Contribution Allocation_Report'!$A$9:$D$310,4,FALSE)*$M$323,0)</f>
        <v>-813261</v>
      </c>
      <c r="N105" s="156">
        <f>ROUND(VLOOKUP($A105,'Contribution Allocation_Report'!$A$9:$D$310,4,FALSE)*$N$323,0)</f>
        <v>-161715</v>
      </c>
      <c r="O105" s="246">
        <f>ROUND(VLOOKUP($A105,'Contribution Allocation_Report'!$A$9:$D$310,4,FALSE)*$O$323,0)</f>
        <v>-665097</v>
      </c>
      <c r="Q105" s="246">
        <f>+K105+VLOOKUP(A105,'Change in Proportion Layers'!$A$8:$I$321,3,FALSE)+VLOOKUP(A105,'Change in Proportion Layers'!$A$8:$V$321,10,FALSE)+VLOOKUP(A105,'Change in Proportion Layers'!$A$8:$V$321,16,FALSE)+VLOOKUP(A105,'Change in Proportion Layers'!$A$8:$V$321,21,FALSE)</f>
        <v>-1089434</v>
      </c>
      <c r="R105" s="246">
        <f>+L105+VLOOKUP(A105,'Change in Proportion Layers'!$A$8:$V$321,4,FALSE)+VLOOKUP(A105,'Change in Proportion Layers'!$A$8:$V$321,11,FALSE)+VLOOKUP(A105,'Change in Proportion Layers'!$A$8:$V$321,17,FALSE)+VLOOKUP(A105,'Change in Proportion Layers'!$A$8:$V$321,22,FALSE)</f>
        <v>-562872</v>
      </c>
      <c r="S105" s="246">
        <f>+M105+VLOOKUP(A105,'Change in Proportion Layers'!$A$8:$V$321,5,FALSE)+VLOOKUP(A105,'Change in Proportion Layers'!$A$8:$V$321,12,FALSE)+VLOOKUP(A105,'Change in Proportion Layers'!$A$8:$V$321,18,FALSE)</f>
        <v>-746184</v>
      </c>
      <c r="T105" s="246">
        <f>+N105+VLOOKUP(A105,'Change in Proportion Layers'!$A$8:$V$321,6,FALSE)+VLOOKUP(A105,'Change in Proportion Layers'!$A$8:$V$321,13,FALSE)</f>
        <v>-73634</v>
      </c>
      <c r="U105" s="246">
        <f>+O105+VLOOKUP(A105,'Change in Proportion Layers'!$A$8:$V$321,7,FALSE)</f>
        <v>-649620</v>
      </c>
      <c r="W105" s="246">
        <f>('OPEB Amounts_Report'!G105-'OPEB Amounts_Report'!M105)</f>
        <v>-3121744</v>
      </c>
      <c r="X105" s="282">
        <f>SUM(Q105:U105)-('OPEB Amounts_Report'!G105-'OPEB Amounts_Report'!M105)</f>
        <v>0</v>
      </c>
    </row>
    <row r="106" spans="1:24" s="8" customFormat="1">
      <c r="A106" s="235">
        <v>22065</v>
      </c>
      <c r="B106" s="236" t="s">
        <v>96</v>
      </c>
      <c r="C106" s="245">
        <f t="shared" si="10"/>
        <v>-446354</v>
      </c>
      <c r="D106" s="245">
        <f t="shared" si="11"/>
        <v>-268575</v>
      </c>
      <c r="E106" s="245">
        <f t="shared" si="12"/>
        <v>-132801</v>
      </c>
      <c r="F106" s="245">
        <f t="shared" si="13"/>
        <v>7501</v>
      </c>
      <c r="G106" s="245">
        <f t="shared" si="14"/>
        <v>-143471</v>
      </c>
      <c r="I106" s="51"/>
      <c r="K106" s="156">
        <f>ROUND(VLOOKUP($A106,'Contribution Allocation_Report'!$A$9:$D$310,4,FALSE)*$K$323,0)</f>
        <v>-475698</v>
      </c>
      <c r="L106" s="156">
        <f>ROUND(VLOOKUP($A106,'Contribution Allocation_Report'!$A$9:$D$310,4,FALSE)*$L$323,0)</f>
        <v>-299360</v>
      </c>
      <c r="M106" s="156">
        <f>ROUND(VLOOKUP($A106,'Contribution Allocation_Report'!$A$9:$D$310,4,FALSE)*$M$323,0)</f>
        <v>-170091</v>
      </c>
      <c r="N106" s="156">
        <f>ROUND(VLOOKUP($A106,'Contribution Allocation_Report'!$A$9:$D$310,4,FALSE)*$N$323,0)</f>
        <v>-33822</v>
      </c>
      <c r="O106" s="246">
        <f>ROUND(VLOOKUP($A106,'Contribution Allocation_Report'!$A$9:$D$310,4,FALSE)*$O$323,0)</f>
        <v>-139103</v>
      </c>
      <c r="Q106" s="246">
        <f>+K106+VLOOKUP(A106,'Change in Proportion Layers'!$A$8:$I$321,3,FALSE)+VLOOKUP(A106,'Change in Proportion Layers'!$A$8:$V$321,10,FALSE)+VLOOKUP(A106,'Change in Proportion Layers'!$A$8:$V$321,16,FALSE)+VLOOKUP(A106,'Change in Proportion Layers'!$A$8:$V$321,21,FALSE)</f>
        <v>-446354</v>
      </c>
      <c r="R106" s="246">
        <f>+L106+VLOOKUP(A106,'Change in Proportion Layers'!$A$8:$V$321,4,FALSE)+VLOOKUP(A106,'Change in Proportion Layers'!$A$8:$V$321,11,FALSE)+VLOOKUP(A106,'Change in Proportion Layers'!$A$8:$V$321,17,FALSE)+VLOOKUP(A106,'Change in Proportion Layers'!$A$8:$V$321,22,FALSE)</f>
        <v>-268575</v>
      </c>
      <c r="S106" s="246">
        <f>+M106+VLOOKUP(A106,'Change in Proportion Layers'!$A$8:$V$321,5,FALSE)+VLOOKUP(A106,'Change in Proportion Layers'!$A$8:$V$321,12,FALSE)+VLOOKUP(A106,'Change in Proportion Layers'!$A$8:$V$321,18,FALSE)</f>
        <v>-132801</v>
      </c>
      <c r="T106" s="246">
        <f>+N106+VLOOKUP(A106,'Change in Proportion Layers'!$A$8:$V$321,6,FALSE)+VLOOKUP(A106,'Change in Proportion Layers'!$A$8:$V$321,13,FALSE)</f>
        <v>7501</v>
      </c>
      <c r="U106" s="246">
        <f>+O106+VLOOKUP(A106,'Change in Proportion Layers'!$A$8:$V$321,7,FALSE)-1</f>
        <v>-143471</v>
      </c>
      <c r="W106" s="246">
        <f>('OPEB Amounts_Report'!G106-'OPEB Amounts_Report'!M106)</f>
        <v>-983700</v>
      </c>
      <c r="X106" s="282">
        <f>SUM(Q106:U106)-('OPEB Amounts_Report'!G106-'OPEB Amounts_Report'!M106)</f>
        <v>0</v>
      </c>
    </row>
    <row r="107" spans="1:24" s="8" customFormat="1">
      <c r="A107" s="237">
        <v>22201</v>
      </c>
      <c r="B107" s="238" t="s">
        <v>97</v>
      </c>
      <c r="C107" s="48">
        <f t="shared" si="10"/>
        <v>-121483</v>
      </c>
      <c r="D107" s="48">
        <f t="shared" si="11"/>
        <v>-34648</v>
      </c>
      <c r="E107" s="48">
        <f t="shared" si="12"/>
        <v>-5331</v>
      </c>
      <c r="F107" s="48">
        <f t="shared" si="13"/>
        <v>3197</v>
      </c>
      <c r="G107" s="48">
        <f t="shared" si="14"/>
        <v>-78861</v>
      </c>
      <c r="I107" s="51"/>
      <c r="K107" s="156">
        <f>ROUND(VLOOKUP($A107,'Contribution Allocation_Report'!$A$9:$D$310,4,FALSE)*$K$323,0)</f>
        <v>-236302</v>
      </c>
      <c r="L107" s="156">
        <f>ROUND(VLOOKUP($A107,'Contribution Allocation_Report'!$A$9:$D$310,4,FALSE)*$L$323,0)</f>
        <v>-148706</v>
      </c>
      <c r="M107" s="156">
        <f>ROUND(VLOOKUP($A107,'Contribution Allocation_Report'!$A$9:$D$310,4,FALSE)*$M$323,0)</f>
        <v>-84492</v>
      </c>
      <c r="N107" s="156">
        <f>ROUND(VLOOKUP($A107,'Contribution Allocation_Report'!$A$9:$D$310,4,FALSE)*$N$323,0)</f>
        <v>-16801</v>
      </c>
      <c r="O107" s="246">
        <f>ROUND(VLOOKUP($A107,'Contribution Allocation_Report'!$A$9:$D$310,4,FALSE)*$O$323,0)</f>
        <v>-69099</v>
      </c>
      <c r="Q107" s="246">
        <f>+K107+VLOOKUP(A107,'Change in Proportion Layers'!$A$8:$I$321,3,FALSE)+VLOOKUP(A107,'Change in Proportion Layers'!$A$8:$V$321,10,FALSE)+VLOOKUP(A107,'Change in Proportion Layers'!$A$8:$V$321,16,FALSE)+VLOOKUP(A107,'Change in Proportion Layers'!$A$8:$V$321,21,FALSE)</f>
        <v>-121483</v>
      </c>
      <c r="R107" s="246">
        <f>+L107+VLOOKUP(A107,'Change in Proportion Layers'!$A$8:$V$321,4,FALSE)+VLOOKUP(A107,'Change in Proportion Layers'!$A$8:$V$321,11,FALSE)+VLOOKUP(A107,'Change in Proportion Layers'!$A$8:$V$321,17,FALSE)+VLOOKUP(A107,'Change in Proportion Layers'!$A$8:$V$321,22,FALSE)</f>
        <v>-34648</v>
      </c>
      <c r="S107" s="246">
        <f>+M107+VLOOKUP(A107,'Change in Proportion Layers'!$A$8:$V$321,5,FALSE)+VLOOKUP(A107,'Change in Proportion Layers'!$A$8:$V$321,12,FALSE)+VLOOKUP(A107,'Change in Proportion Layers'!$A$8:$V$321,18,FALSE)</f>
        <v>-5331</v>
      </c>
      <c r="T107" s="246">
        <f>+N107+VLOOKUP(A107,'Change in Proportion Layers'!$A$8:$V$321,6,FALSE)+VLOOKUP(A107,'Change in Proportion Layers'!$A$8:$V$321,13,FALSE)</f>
        <v>3197</v>
      </c>
      <c r="U107" s="246">
        <f>+O107+VLOOKUP(A107,'Change in Proportion Layers'!$A$8:$V$321,7,FALSE)-1</f>
        <v>-78861</v>
      </c>
      <c r="W107" s="246">
        <f>('OPEB Amounts_Report'!G107-'OPEB Amounts_Report'!M107)</f>
        <v>-237126</v>
      </c>
      <c r="X107" s="282">
        <f>SUM(Q107:U107)-('OPEB Amounts_Report'!G107-'OPEB Amounts_Report'!M107)</f>
        <v>0</v>
      </c>
    </row>
    <row r="108" spans="1:24" s="8" customFormat="1">
      <c r="A108" s="235">
        <v>6016</v>
      </c>
      <c r="B108" s="236" t="s">
        <v>98</v>
      </c>
      <c r="C108" s="245">
        <f t="shared" si="10"/>
        <v>-425361</v>
      </c>
      <c r="D108" s="245">
        <f t="shared" si="11"/>
        <v>-243985</v>
      </c>
      <c r="E108" s="245">
        <f t="shared" si="12"/>
        <v>-117443</v>
      </c>
      <c r="F108" s="245">
        <f t="shared" si="13"/>
        <v>-4596</v>
      </c>
      <c r="G108" s="245">
        <f t="shared" si="14"/>
        <v>-177385</v>
      </c>
      <c r="I108" s="51"/>
      <c r="K108" s="156">
        <f>ROUND(VLOOKUP($A108,'Contribution Allocation_Report'!$A$9:$D$310,4,FALSE)*$K$323,0)</f>
        <v>-479589</v>
      </c>
      <c r="L108" s="156">
        <f>ROUND(VLOOKUP($A108,'Contribution Allocation_Report'!$A$9:$D$310,4,FALSE)*$L$323,0)</f>
        <v>-301808</v>
      </c>
      <c r="M108" s="156">
        <f>ROUND(VLOOKUP($A108,'Contribution Allocation_Report'!$A$9:$D$310,4,FALSE)*$M$323,0)</f>
        <v>-171482</v>
      </c>
      <c r="N108" s="156">
        <f>ROUND(VLOOKUP($A108,'Contribution Allocation_Report'!$A$9:$D$310,4,FALSE)*$N$323,0)</f>
        <v>-34099</v>
      </c>
      <c r="O108" s="246">
        <f>ROUND(VLOOKUP($A108,'Contribution Allocation_Report'!$A$9:$D$310,4,FALSE)*$O$323,0)</f>
        <v>-140241</v>
      </c>
      <c r="Q108" s="246">
        <f>+K108+VLOOKUP(A108,'Change in Proportion Layers'!$A$8:$I$321,3,FALSE)+VLOOKUP(A108,'Change in Proportion Layers'!$A$8:$V$321,10,FALSE)+VLOOKUP(A108,'Change in Proportion Layers'!$A$8:$V$321,16,FALSE)+VLOOKUP(A108,'Change in Proportion Layers'!$A$8:$V$321,21,FALSE)</f>
        <v>-425361</v>
      </c>
      <c r="R108" s="246">
        <f>+L108+VLOOKUP(A108,'Change in Proportion Layers'!$A$8:$V$321,4,FALSE)+VLOOKUP(A108,'Change in Proportion Layers'!$A$8:$V$321,11,FALSE)+VLOOKUP(A108,'Change in Proportion Layers'!$A$8:$V$321,17,FALSE)+VLOOKUP(A108,'Change in Proportion Layers'!$A$8:$V$321,22,FALSE)</f>
        <v>-243985</v>
      </c>
      <c r="S108" s="246">
        <f>+M108+VLOOKUP(A108,'Change in Proportion Layers'!$A$8:$V$321,5,FALSE)+VLOOKUP(A108,'Change in Proportion Layers'!$A$8:$V$321,12,FALSE)+VLOOKUP(A108,'Change in Proportion Layers'!$A$8:$V$321,18,FALSE)</f>
        <v>-117443</v>
      </c>
      <c r="T108" s="246">
        <f>+N108+VLOOKUP(A108,'Change in Proportion Layers'!$A$8:$V$321,6,FALSE)+VLOOKUP(A108,'Change in Proportion Layers'!$A$8:$V$321,13,FALSE)</f>
        <v>-4596</v>
      </c>
      <c r="U108" s="246">
        <f>+O108+VLOOKUP(A108,'Change in Proportion Layers'!$A$8:$V$321,7,FALSE)+1</f>
        <v>-177385</v>
      </c>
      <c r="W108" s="246">
        <f>('OPEB Amounts_Report'!G108-'OPEB Amounts_Report'!M108)</f>
        <v>-968770</v>
      </c>
      <c r="X108" s="282">
        <f>SUM(Q108:U108)-('OPEB Amounts_Report'!G108-'OPEB Amounts_Report'!M108)</f>
        <v>0</v>
      </c>
    </row>
    <row r="109" spans="1:24" s="8" customFormat="1">
      <c r="A109" s="237">
        <v>2432</v>
      </c>
      <c r="B109" s="238" t="s">
        <v>99</v>
      </c>
      <c r="C109" s="48">
        <f t="shared" si="10"/>
        <v>13597</v>
      </c>
      <c r="D109" s="48">
        <f t="shared" si="11"/>
        <v>136446</v>
      </c>
      <c r="E109" s="48">
        <f t="shared" si="12"/>
        <v>175342</v>
      </c>
      <c r="F109" s="48">
        <f t="shared" si="13"/>
        <v>193612</v>
      </c>
      <c r="G109" s="48">
        <f t="shared" si="14"/>
        <v>44471</v>
      </c>
      <c r="I109" s="51"/>
      <c r="K109" s="156">
        <f>ROUND(VLOOKUP($A109,'Contribution Allocation_Report'!$A$9:$D$310,4,FALSE)*$K$323,0)</f>
        <v>-341914</v>
      </c>
      <c r="L109" s="156">
        <f>ROUND(VLOOKUP($A109,'Contribution Allocation_Report'!$A$9:$D$310,4,FALSE)*$L$323,0)</f>
        <v>-215169</v>
      </c>
      <c r="M109" s="156">
        <f>ROUND(VLOOKUP($A109,'Contribution Allocation_Report'!$A$9:$D$310,4,FALSE)*$M$323,0)</f>
        <v>-122255</v>
      </c>
      <c r="N109" s="156">
        <f>ROUND(VLOOKUP($A109,'Contribution Allocation_Report'!$A$9:$D$310,4,FALSE)*$N$323,0)</f>
        <v>-24310</v>
      </c>
      <c r="O109" s="246">
        <f>ROUND(VLOOKUP($A109,'Contribution Allocation_Report'!$A$9:$D$310,4,FALSE)*$O$323,0)</f>
        <v>-99982</v>
      </c>
      <c r="Q109" s="246">
        <f>+K109+VLOOKUP(A109,'Change in Proportion Layers'!$A$8:$I$321,3,FALSE)+VLOOKUP(A109,'Change in Proportion Layers'!$A$8:$V$321,10,FALSE)+VLOOKUP(A109,'Change in Proportion Layers'!$A$8:$V$321,16,FALSE)+VLOOKUP(A109,'Change in Proportion Layers'!$A$8:$V$321,21,FALSE)</f>
        <v>13597</v>
      </c>
      <c r="R109" s="246">
        <f>+L109+VLOOKUP(A109,'Change in Proportion Layers'!$A$8:$V$321,4,FALSE)+VLOOKUP(A109,'Change in Proportion Layers'!$A$8:$V$321,11,FALSE)+VLOOKUP(A109,'Change in Proportion Layers'!$A$8:$V$321,17,FALSE)+VLOOKUP(A109,'Change in Proportion Layers'!$A$8:$V$321,22,FALSE)</f>
        <v>136446</v>
      </c>
      <c r="S109" s="246">
        <f>+M109+VLOOKUP(A109,'Change in Proportion Layers'!$A$8:$V$321,5,FALSE)+VLOOKUP(A109,'Change in Proportion Layers'!$A$8:$V$321,12,FALSE)+VLOOKUP(A109,'Change in Proportion Layers'!$A$8:$V$321,18,FALSE)</f>
        <v>175342</v>
      </c>
      <c r="T109" s="246">
        <f>+N109+VLOOKUP(A109,'Change in Proportion Layers'!$A$8:$V$321,6,FALSE)+VLOOKUP(A109,'Change in Proportion Layers'!$A$8:$V$321,13,FALSE)</f>
        <v>193612</v>
      </c>
      <c r="U109" s="246">
        <f>+O109+VLOOKUP(A109,'Change in Proportion Layers'!$A$8:$V$321,7,FALSE)+1</f>
        <v>44471</v>
      </c>
      <c r="W109" s="246">
        <f>('OPEB Amounts_Report'!G109-'OPEB Amounts_Report'!M109)</f>
        <v>563468</v>
      </c>
      <c r="X109" s="282">
        <f>SUM(Q109:U109)-('OPEB Amounts_Report'!G109-'OPEB Amounts_Report'!M109)</f>
        <v>0</v>
      </c>
    </row>
    <row r="110" spans="1:24" s="8" customFormat="1">
      <c r="A110" s="235">
        <v>16052</v>
      </c>
      <c r="B110" s="236" t="s">
        <v>100</v>
      </c>
      <c r="C110" s="245">
        <f t="shared" si="10"/>
        <v>-5623725</v>
      </c>
      <c r="D110" s="245">
        <f t="shared" si="11"/>
        <v>-3222959</v>
      </c>
      <c r="E110" s="245">
        <f t="shared" si="12"/>
        <v>-1396043</v>
      </c>
      <c r="F110" s="245">
        <f t="shared" si="13"/>
        <v>321104</v>
      </c>
      <c r="G110" s="245">
        <f t="shared" si="14"/>
        <v>-2043530</v>
      </c>
      <c r="I110" s="51"/>
      <c r="K110" s="156">
        <f>ROUND(VLOOKUP($A110,'Contribution Allocation_Report'!$A$9:$D$310,4,FALSE)*$K$323,0)</f>
        <v>-6317956</v>
      </c>
      <c r="L110" s="156">
        <f>ROUND(VLOOKUP($A110,'Contribution Allocation_Report'!$A$9:$D$310,4,FALSE)*$L$323,0)</f>
        <v>-3975928</v>
      </c>
      <c r="M110" s="156">
        <f>ROUND(VLOOKUP($A110,'Contribution Allocation_Report'!$A$9:$D$310,4,FALSE)*$M$323,0)</f>
        <v>-2259050</v>
      </c>
      <c r="N110" s="156">
        <f>ROUND(VLOOKUP($A110,'Contribution Allocation_Report'!$A$9:$D$310,4,FALSE)*$N$323,0)</f>
        <v>-449207</v>
      </c>
      <c r="O110" s="246">
        <f>ROUND(VLOOKUP($A110,'Contribution Allocation_Report'!$A$9:$D$310,4,FALSE)*$O$323,0)</f>
        <v>-1847485</v>
      </c>
      <c r="Q110" s="246">
        <f>+K110+VLOOKUP(A110,'Change in Proportion Layers'!$A$8:$I$321,3,FALSE)+VLOOKUP(A110,'Change in Proportion Layers'!$A$8:$V$321,10,FALSE)+VLOOKUP(A110,'Change in Proportion Layers'!$A$8:$V$321,16,FALSE)+VLOOKUP(A110,'Change in Proportion Layers'!$A$8:$V$321,21,FALSE)</f>
        <v>-5623725</v>
      </c>
      <c r="R110" s="246">
        <f>+L110+VLOOKUP(A110,'Change in Proportion Layers'!$A$8:$V$321,4,FALSE)+VLOOKUP(A110,'Change in Proportion Layers'!$A$8:$V$321,11,FALSE)+VLOOKUP(A110,'Change in Proportion Layers'!$A$8:$V$321,17,FALSE)+VLOOKUP(A110,'Change in Proportion Layers'!$A$8:$V$321,22,FALSE)</f>
        <v>-3222959</v>
      </c>
      <c r="S110" s="246">
        <f>+M110+VLOOKUP(A110,'Change in Proportion Layers'!$A$8:$V$321,5,FALSE)+VLOOKUP(A110,'Change in Proportion Layers'!$A$8:$V$321,12,FALSE)+VLOOKUP(A110,'Change in Proportion Layers'!$A$8:$V$321,18,FALSE)</f>
        <v>-1396043</v>
      </c>
      <c r="T110" s="246">
        <f>+N110+VLOOKUP(A110,'Change in Proportion Layers'!$A$8:$V$321,6,FALSE)+VLOOKUP(A110,'Change in Proportion Layers'!$A$8:$V$321,13,FALSE)</f>
        <v>321104</v>
      </c>
      <c r="U110" s="246">
        <f>+O110+VLOOKUP(A110,'Change in Proportion Layers'!$A$8:$V$321,7,FALSE)-2</f>
        <v>-2043530</v>
      </c>
      <c r="W110" s="246">
        <f>('OPEB Amounts_Report'!G110-'OPEB Amounts_Report'!M110)</f>
        <v>-11965153</v>
      </c>
      <c r="X110" s="282">
        <f>SUM(Q110:U110)-('OPEB Amounts_Report'!G110-'OPEB Amounts_Report'!M110)</f>
        <v>0</v>
      </c>
    </row>
    <row r="111" spans="1:24" s="8" customFormat="1">
      <c r="A111" s="237">
        <v>11118</v>
      </c>
      <c r="B111" s="238" t="s">
        <v>101</v>
      </c>
      <c r="C111" s="48">
        <f t="shared" si="10"/>
        <v>-200283</v>
      </c>
      <c r="D111" s="48">
        <f t="shared" si="11"/>
        <v>-140975</v>
      </c>
      <c r="E111" s="48">
        <f t="shared" si="12"/>
        <v>-102953</v>
      </c>
      <c r="F111" s="48">
        <f t="shared" si="13"/>
        <v>-60035</v>
      </c>
      <c r="G111" s="48">
        <f t="shared" si="14"/>
        <v>-76288</v>
      </c>
      <c r="I111" s="51"/>
      <c r="K111" s="156">
        <f>ROUND(VLOOKUP($A111,'Contribution Allocation_Report'!$A$9:$D$310,4,FALSE)*$K$323,0)</f>
        <v>-164254</v>
      </c>
      <c r="L111" s="156">
        <f>ROUND(VLOOKUP($A111,'Contribution Allocation_Report'!$A$9:$D$310,4,FALSE)*$L$323,0)</f>
        <v>-103366</v>
      </c>
      <c r="M111" s="156">
        <f>ROUND(VLOOKUP($A111,'Contribution Allocation_Report'!$A$9:$D$310,4,FALSE)*$M$323,0)</f>
        <v>-58731</v>
      </c>
      <c r="N111" s="156">
        <f>ROUND(VLOOKUP($A111,'Contribution Allocation_Report'!$A$9:$D$310,4,FALSE)*$N$323,0)</f>
        <v>-11678</v>
      </c>
      <c r="O111" s="246">
        <f>ROUND(VLOOKUP($A111,'Contribution Allocation_Report'!$A$9:$D$310,4,FALSE)*$O$323,0)</f>
        <v>-48031</v>
      </c>
      <c r="Q111" s="246">
        <f>+K111+VLOOKUP(A111,'Change in Proportion Layers'!$A$8:$I$321,3,FALSE)+VLOOKUP(A111,'Change in Proportion Layers'!$A$8:$V$321,10,FALSE)+VLOOKUP(A111,'Change in Proportion Layers'!$A$8:$V$321,16,FALSE)+VLOOKUP(A111,'Change in Proportion Layers'!$A$8:$V$321,21,FALSE)</f>
        <v>-200283</v>
      </c>
      <c r="R111" s="246">
        <f>+L111+VLOOKUP(A111,'Change in Proportion Layers'!$A$8:$V$321,4,FALSE)+VLOOKUP(A111,'Change in Proportion Layers'!$A$8:$V$321,11,FALSE)+VLOOKUP(A111,'Change in Proportion Layers'!$A$8:$V$321,17,FALSE)+VLOOKUP(A111,'Change in Proportion Layers'!$A$8:$V$321,22,FALSE)</f>
        <v>-140975</v>
      </c>
      <c r="S111" s="246">
        <f>+M111+VLOOKUP(A111,'Change in Proportion Layers'!$A$8:$V$321,5,FALSE)+VLOOKUP(A111,'Change in Proportion Layers'!$A$8:$V$321,12,FALSE)+VLOOKUP(A111,'Change in Proportion Layers'!$A$8:$V$321,18,FALSE)</f>
        <v>-102953</v>
      </c>
      <c r="T111" s="246">
        <f>+N111+VLOOKUP(A111,'Change in Proportion Layers'!$A$8:$V$321,6,FALSE)+VLOOKUP(A111,'Change in Proportion Layers'!$A$8:$V$321,13,FALSE)</f>
        <v>-60035</v>
      </c>
      <c r="U111" s="246">
        <f>+O111+VLOOKUP(A111,'Change in Proportion Layers'!$A$8:$V$321,7,FALSE)</f>
        <v>-76288</v>
      </c>
      <c r="W111" s="246">
        <f>('OPEB Amounts_Report'!G111-'OPEB Amounts_Report'!M111)</f>
        <v>-580534</v>
      </c>
      <c r="X111" s="282">
        <f>SUM(Q111:U111)-('OPEB Amounts_Report'!G111-'OPEB Amounts_Report'!M111)</f>
        <v>0</v>
      </c>
    </row>
    <row r="112" spans="1:24" s="8" customFormat="1">
      <c r="A112" s="235">
        <v>27083</v>
      </c>
      <c r="B112" s="236" t="s">
        <v>102</v>
      </c>
      <c r="C112" s="245">
        <f t="shared" si="10"/>
        <v>-243331</v>
      </c>
      <c r="D112" s="245">
        <f t="shared" si="11"/>
        <v>-147446</v>
      </c>
      <c r="E112" s="245">
        <f t="shared" si="12"/>
        <v>-75198</v>
      </c>
      <c r="F112" s="245">
        <f t="shared" si="13"/>
        <v>-5</v>
      </c>
      <c r="G112" s="245">
        <f t="shared" si="14"/>
        <v>-86885</v>
      </c>
      <c r="I112" s="51"/>
      <c r="K112" s="156">
        <f>ROUND(VLOOKUP($A112,'Contribution Allocation_Report'!$A$9:$D$310,4,FALSE)*$K$323,0)</f>
        <v>-257490</v>
      </c>
      <c r="L112" s="156">
        <f>ROUND(VLOOKUP($A112,'Contribution Allocation_Report'!$A$9:$D$310,4,FALSE)*$L$323,0)</f>
        <v>-162040</v>
      </c>
      <c r="M112" s="156">
        <f>ROUND(VLOOKUP($A112,'Contribution Allocation_Report'!$A$9:$D$310,4,FALSE)*$M$323,0)</f>
        <v>-92068</v>
      </c>
      <c r="N112" s="156">
        <f>ROUND(VLOOKUP($A112,'Contribution Allocation_Report'!$A$9:$D$310,4,FALSE)*$N$323,0)</f>
        <v>-18308</v>
      </c>
      <c r="O112" s="246">
        <f>ROUND(VLOOKUP($A112,'Contribution Allocation_Report'!$A$9:$D$310,4,FALSE)*$O$323,0)</f>
        <v>-75295</v>
      </c>
      <c r="Q112" s="246">
        <f>+K112+VLOOKUP(A112,'Change in Proportion Layers'!$A$8:$I$321,3,FALSE)+VLOOKUP(A112,'Change in Proportion Layers'!$A$8:$V$321,10,FALSE)+VLOOKUP(A112,'Change in Proportion Layers'!$A$8:$V$321,16,FALSE)+VLOOKUP(A112,'Change in Proportion Layers'!$A$8:$V$321,21,FALSE)</f>
        <v>-243331</v>
      </c>
      <c r="R112" s="246">
        <f>+L112+VLOOKUP(A112,'Change in Proportion Layers'!$A$8:$V$321,4,FALSE)+VLOOKUP(A112,'Change in Proportion Layers'!$A$8:$V$321,11,FALSE)+VLOOKUP(A112,'Change in Proportion Layers'!$A$8:$V$321,17,FALSE)+VLOOKUP(A112,'Change in Proportion Layers'!$A$8:$V$321,22,FALSE)</f>
        <v>-147446</v>
      </c>
      <c r="S112" s="246">
        <f>+M112+VLOOKUP(A112,'Change in Proportion Layers'!$A$8:$V$321,5,FALSE)+VLOOKUP(A112,'Change in Proportion Layers'!$A$8:$V$321,12,FALSE)+VLOOKUP(A112,'Change in Proportion Layers'!$A$8:$V$321,18,FALSE)</f>
        <v>-75198</v>
      </c>
      <c r="T112" s="246">
        <f>+N112+VLOOKUP(A112,'Change in Proportion Layers'!$A$8:$V$321,6,FALSE)+VLOOKUP(A112,'Change in Proportion Layers'!$A$8:$V$321,13,FALSE)</f>
        <v>-5</v>
      </c>
      <c r="U112" s="246">
        <f>+O112+VLOOKUP(A112,'Change in Proportion Layers'!$A$8:$V$321,7,FALSE)</f>
        <v>-86885</v>
      </c>
      <c r="W112" s="246">
        <f>('OPEB Amounts_Report'!G112-'OPEB Amounts_Report'!M112)</f>
        <v>-552865</v>
      </c>
      <c r="X112" s="282">
        <f>SUM(Q112:U112)-('OPEB Amounts_Report'!G112-'OPEB Amounts_Report'!M112)</f>
        <v>0</v>
      </c>
    </row>
    <row r="113" spans="1:24" s="8" customFormat="1">
      <c r="A113" s="237">
        <v>7021</v>
      </c>
      <c r="B113" s="238" t="s">
        <v>103</v>
      </c>
      <c r="C113" s="48">
        <f t="shared" si="10"/>
        <v>-8347114</v>
      </c>
      <c r="D113" s="48">
        <f t="shared" si="11"/>
        <v>-4964769</v>
      </c>
      <c r="E113" s="48">
        <f t="shared" si="12"/>
        <v>-2148429</v>
      </c>
      <c r="F113" s="48">
        <f t="shared" si="13"/>
        <v>241113</v>
      </c>
      <c r="G113" s="48">
        <f t="shared" si="14"/>
        <v>-2236873</v>
      </c>
      <c r="I113" s="51"/>
      <c r="K113" s="156">
        <f>ROUND(VLOOKUP($A113,'Contribution Allocation_Report'!$A$9:$D$310,4,FALSE)*$K$323,0)</f>
        <v>-8582727</v>
      </c>
      <c r="L113" s="156">
        <f>ROUND(VLOOKUP($A113,'Contribution Allocation_Report'!$A$9:$D$310,4,FALSE)*$L$323,0)</f>
        <v>-5401162</v>
      </c>
      <c r="M113" s="156">
        <f>ROUND(VLOOKUP($A113,'Contribution Allocation_Report'!$A$9:$D$310,4,FALSE)*$M$323,0)</f>
        <v>-3068841</v>
      </c>
      <c r="N113" s="156">
        <f>ROUND(VLOOKUP($A113,'Contribution Allocation_Report'!$A$9:$D$310,4,FALSE)*$N$323,0)</f>
        <v>-610232</v>
      </c>
      <c r="O113" s="246">
        <f>ROUND(VLOOKUP($A113,'Contribution Allocation_Report'!$A$9:$D$310,4,FALSE)*$O$323,0)</f>
        <v>-2509745</v>
      </c>
      <c r="Q113" s="246">
        <f>+K113+VLOOKUP(A113,'Change in Proportion Layers'!$A$8:$I$321,3,FALSE)+VLOOKUP(A113,'Change in Proportion Layers'!$A$8:$V$321,10,FALSE)+VLOOKUP(A113,'Change in Proportion Layers'!$A$8:$V$321,16,FALSE)+VLOOKUP(A113,'Change in Proportion Layers'!$A$8:$V$321,21,FALSE)</f>
        <v>-8347114</v>
      </c>
      <c r="R113" s="246">
        <f>+L113+VLOOKUP(A113,'Change in Proportion Layers'!$A$8:$V$321,4,FALSE)+VLOOKUP(A113,'Change in Proportion Layers'!$A$8:$V$321,11,FALSE)+VLOOKUP(A113,'Change in Proportion Layers'!$A$8:$V$321,17,FALSE)+VLOOKUP(A113,'Change in Proportion Layers'!$A$8:$V$321,22,FALSE)</f>
        <v>-4964769</v>
      </c>
      <c r="S113" s="246">
        <f>+M113+VLOOKUP(A113,'Change in Proportion Layers'!$A$8:$V$321,5,FALSE)+VLOOKUP(A113,'Change in Proportion Layers'!$A$8:$V$321,12,FALSE)+VLOOKUP(A113,'Change in Proportion Layers'!$A$8:$V$321,18,FALSE)</f>
        <v>-2148429</v>
      </c>
      <c r="T113" s="246">
        <f>+N113+VLOOKUP(A113,'Change in Proportion Layers'!$A$8:$V$321,6,FALSE)+VLOOKUP(A113,'Change in Proportion Layers'!$A$8:$V$321,13,FALSE)</f>
        <v>241113</v>
      </c>
      <c r="U113" s="246">
        <f>+O113+VLOOKUP(A113,'Change in Proportion Layers'!$A$8:$V$321,7,FALSE)</f>
        <v>-2236873</v>
      </c>
      <c r="W113" s="246">
        <f>('OPEB Amounts_Report'!G113-'OPEB Amounts_Report'!M113)</f>
        <v>-17456072</v>
      </c>
      <c r="X113" s="282">
        <f>SUM(Q113:U113)-('OPEB Amounts_Report'!G113-'OPEB Amounts_Report'!M113)</f>
        <v>0</v>
      </c>
    </row>
    <row r="114" spans="1:24" s="8" customFormat="1">
      <c r="A114" s="235">
        <v>4140</v>
      </c>
      <c r="B114" s="236" t="s">
        <v>104</v>
      </c>
      <c r="C114" s="245">
        <f t="shared" si="10"/>
        <v>-54818</v>
      </c>
      <c r="D114" s="245">
        <f t="shared" si="11"/>
        <v>-31476</v>
      </c>
      <c r="E114" s="245">
        <f t="shared" si="12"/>
        <v>-9555</v>
      </c>
      <c r="F114" s="245">
        <f t="shared" si="13"/>
        <v>6351</v>
      </c>
      <c r="G114" s="245">
        <f t="shared" si="14"/>
        <v>-11590</v>
      </c>
      <c r="I114" s="51"/>
      <c r="K114" s="156">
        <f>ROUND(VLOOKUP($A114,'Contribution Allocation_Report'!$A$9:$D$310,4,FALSE)*$K$323,0)</f>
        <v>-55923</v>
      </c>
      <c r="L114" s="156">
        <f>ROUND(VLOOKUP($A114,'Contribution Allocation_Report'!$A$9:$D$310,4,FALSE)*$L$323,0)</f>
        <v>-35193</v>
      </c>
      <c r="M114" s="156">
        <f>ROUND(VLOOKUP($A114,'Contribution Allocation_Report'!$A$9:$D$310,4,FALSE)*$M$323,0)</f>
        <v>-19996</v>
      </c>
      <c r="N114" s="156">
        <f>ROUND(VLOOKUP($A114,'Contribution Allocation_Report'!$A$9:$D$310,4,FALSE)*$N$323,0)</f>
        <v>-3976</v>
      </c>
      <c r="O114" s="246">
        <f>ROUND(VLOOKUP($A114,'Contribution Allocation_Report'!$A$9:$D$310,4,FALSE)*$O$323,0)</f>
        <v>-16353</v>
      </c>
      <c r="Q114" s="246">
        <f>+K114+VLOOKUP(A114,'Change in Proportion Layers'!$A$8:$I$321,3,FALSE)+VLOOKUP(A114,'Change in Proportion Layers'!$A$8:$V$321,10,FALSE)+VLOOKUP(A114,'Change in Proportion Layers'!$A$8:$V$321,16,FALSE)+VLOOKUP(A114,'Change in Proportion Layers'!$A$8:$V$321,21,FALSE)</f>
        <v>-54818</v>
      </c>
      <c r="R114" s="246">
        <f>+L114+VLOOKUP(A114,'Change in Proportion Layers'!$A$8:$V$321,4,FALSE)+VLOOKUP(A114,'Change in Proportion Layers'!$A$8:$V$321,11,FALSE)+VLOOKUP(A114,'Change in Proportion Layers'!$A$8:$V$321,17,FALSE)+VLOOKUP(A114,'Change in Proportion Layers'!$A$8:$V$321,22,FALSE)</f>
        <v>-31476</v>
      </c>
      <c r="S114" s="246">
        <f>+M114+VLOOKUP(A114,'Change in Proportion Layers'!$A$8:$V$321,5,FALSE)+VLOOKUP(A114,'Change in Proportion Layers'!$A$8:$V$321,12,FALSE)+VLOOKUP(A114,'Change in Proportion Layers'!$A$8:$V$321,18,FALSE)</f>
        <v>-9555</v>
      </c>
      <c r="T114" s="246">
        <f>+N114+VLOOKUP(A114,'Change in Proportion Layers'!$A$8:$V$321,6,FALSE)+VLOOKUP(A114,'Change in Proportion Layers'!$A$8:$V$321,13,FALSE)</f>
        <v>6351</v>
      </c>
      <c r="U114" s="246">
        <f>+O114+VLOOKUP(A114,'Change in Proportion Layers'!$A$8:$V$321,7,FALSE)-1</f>
        <v>-11590</v>
      </c>
      <c r="W114" s="246">
        <f>('OPEB Amounts_Report'!G114-'OPEB Amounts_Report'!M114)</f>
        <v>-101088</v>
      </c>
      <c r="X114" s="282">
        <f>SUM(Q114:U114)-('OPEB Amounts_Report'!G114-'OPEB Amounts_Report'!M114)</f>
        <v>0</v>
      </c>
    </row>
    <row r="115" spans="1:24" s="8" customFormat="1">
      <c r="A115" s="237">
        <v>13041</v>
      </c>
      <c r="B115" s="238" t="s">
        <v>105</v>
      </c>
      <c r="C115" s="48">
        <f t="shared" si="10"/>
        <v>-7582713</v>
      </c>
      <c r="D115" s="48">
        <f t="shared" si="11"/>
        <v>-4863203</v>
      </c>
      <c r="E115" s="48">
        <f t="shared" si="12"/>
        <v>-3190135</v>
      </c>
      <c r="F115" s="48">
        <f t="shared" si="13"/>
        <v>-1245862</v>
      </c>
      <c r="G115" s="48">
        <f t="shared" si="14"/>
        <v>-2777727</v>
      </c>
      <c r="I115" s="51"/>
      <c r="K115" s="156">
        <f>ROUND(VLOOKUP($A115,'Contribution Allocation_Report'!$A$9:$D$310,4,FALSE)*$K$323,0)</f>
        <v>-7609767</v>
      </c>
      <c r="L115" s="156">
        <f>ROUND(VLOOKUP($A115,'Contribution Allocation_Report'!$A$9:$D$310,4,FALSE)*$L$323,0)</f>
        <v>-4788872</v>
      </c>
      <c r="M115" s="156">
        <f>ROUND(VLOOKUP($A115,'Contribution Allocation_Report'!$A$9:$D$310,4,FALSE)*$M$323,0)</f>
        <v>-2720950</v>
      </c>
      <c r="N115" s="156">
        <f>ROUND(VLOOKUP($A115,'Contribution Allocation_Report'!$A$9:$D$310,4,FALSE)*$N$323,0)</f>
        <v>-541055</v>
      </c>
      <c r="O115" s="246">
        <f>ROUND(VLOOKUP($A115,'Contribution Allocation_Report'!$A$9:$D$310,4,FALSE)*$O$323,0)</f>
        <v>-2225234</v>
      </c>
      <c r="Q115" s="246">
        <f>+K115+VLOOKUP(A115,'Change in Proportion Layers'!$A$8:$I$321,3,FALSE)+VLOOKUP(A115,'Change in Proportion Layers'!$A$8:$V$321,10,FALSE)+VLOOKUP(A115,'Change in Proportion Layers'!$A$8:$V$321,16,FALSE)+VLOOKUP(A115,'Change in Proportion Layers'!$A$8:$V$321,21,FALSE)</f>
        <v>-7582713</v>
      </c>
      <c r="R115" s="246">
        <f>+L115+VLOOKUP(A115,'Change in Proportion Layers'!$A$8:$V$321,4,FALSE)+VLOOKUP(A115,'Change in Proportion Layers'!$A$8:$V$321,11,FALSE)+VLOOKUP(A115,'Change in Proportion Layers'!$A$8:$V$321,17,FALSE)+VLOOKUP(A115,'Change in Proportion Layers'!$A$8:$V$321,22,FALSE)</f>
        <v>-4863203</v>
      </c>
      <c r="S115" s="246">
        <f>+M115+VLOOKUP(A115,'Change in Proportion Layers'!$A$8:$V$321,5,FALSE)+VLOOKUP(A115,'Change in Proportion Layers'!$A$8:$V$321,12,FALSE)+VLOOKUP(A115,'Change in Proportion Layers'!$A$8:$V$321,18,FALSE)</f>
        <v>-3190135</v>
      </c>
      <c r="T115" s="246">
        <f>+N115+VLOOKUP(A115,'Change in Proportion Layers'!$A$8:$V$321,6,FALSE)+VLOOKUP(A115,'Change in Proportion Layers'!$A$8:$V$321,13,FALSE)</f>
        <v>-1245862</v>
      </c>
      <c r="U115" s="246">
        <f>+O115+VLOOKUP(A115,'Change in Proportion Layers'!$A$8:$V$321,7,FALSE)+1</f>
        <v>-2777727</v>
      </c>
      <c r="W115" s="246">
        <f>('OPEB Amounts_Report'!G115-'OPEB Amounts_Report'!M115)</f>
        <v>-19659640</v>
      </c>
      <c r="X115" s="282">
        <f>SUM(Q115:U115)-('OPEB Amounts_Report'!G115-'OPEB Amounts_Report'!M115)</f>
        <v>0</v>
      </c>
    </row>
    <row r="116" spans="1:24" s="8" customFormat="1">
      <c r="A116" s="235">
        <v>2339</v>
      </c>
      <c r="B116" s="236" t="s">
        <v>106</v>
      </c>
      <c r="C116" s="245">
        <f t="shared" si="10"/>
        <v>-141214</v>
      </c>
      <c r="D116" s="245">
        <f t="shared" si="11"/>
        <v>-94735</v>
      </c>
      <c r="E116" s="245">
        <f t="shared" si="12"/>
        <v>-44932</v>
      </c>
      <c r="F116" s="245">
        <f t="shared" si="13"/>
        <v>-950</v>
      </c>
      <c r="G116" s="245">
        <f t="shared" si="14"/>
        <v>-25155</v>
      </c>
      <c r="I116" s="51"/>
      <c r="K116" s="156">
        <f>ROUND(VLOOKUP($A116,'Contribution Allocation_Report'!$A$9:$D$310,4,FALSE)*$K$323,0)</f>
        <v>-112081</v>
      </c>
      <c r="L116" s="156">
        <f>ROUND(VLOOKUP($A116,'Contribution Allocation_Report'!$A$9:$D$310,4,FALSE)*$L$323,0)</f>
        <v>-70533</v>
      </c>
      <c r="M116" s="156">
        <f>ROUND(VLOOKUP($A116,'Contribution Allocation_Report'!$A$9:$D$310,4,FALSE)*$M$323,0)</f>
        <v>-40076</v>
      </c>
      <c r="N116" s="156">
        <f>ROUND(VLOOKUP($A116,'Contribution Allocation_Report'!$A$9:$D$310,4,FALSE)*$N$323,0)</f>
        <v>-7969</v>
      </c>
      <c r="O116" s="246">
        <f>ROUND(VLOOKUP($A116,'Contribution Allocation_Report'!$A$9:$D$310,4,FALSE)*$O$323,0)</f>
        <v>-32774</v>
      </c>
      <c r="Q116" s="246">
        <f>+K116+VLOOKUP(A116,'Change in Proportion Layers'!$A$8:$I$321,3,FALSE)+VLOOKUP(A116,'Change in Proportion Layers'!$A$8:$V$321,10,FALSE)+VLOOKUP(A116,'Change in Proportion Layers'!$A$8:$V$321,16,FALSE)+VLOOKUP(A116,'Change in Proportion Layers'!$A$8:$V$321,21,FALSE)</f>
        <v>-141214</v>
      </c>
      <c r="R116" s="246">
        <f>+L116+VLOOKUP(A116,'Change in Proportion Layers'!$A$8:$V$321,4,FALSE)+VLOOKUP(A116,'Change in Proportion Layers'!$A$8:$V$321,11,FALSE)+VLOOKUP(A116,'Change in Proportion Layers'!$A$8:$V$321,17,FALSE)+VLOOKUP(A116,'Change in Proportion Layers'!$A$8:$V$321,22,FALSE)</f>
        <v>-94735</v>
      </c>
      <c r="S116" s="246">
        <f>+M116+VLOOKUP(A116,'Change in Proportion Layers'!$A$8:$V$321,5,FALSE)+VLOOKUP(A116,'Change in Proportion Layers'!$A$8:$V$321,12,FALSE)+VLOOKUP(A116,'Change in Proportion Layers'!$A$8:$V$321,18,FALSE)</f>
        <v>-44932</v>
      </c>
      <c r="T116" s="246">
        <f>+N116+VLOOKUP(A116,'Change in Proportion Layers'!$A$8:$V$321,6,FALSE)+VLOOKUP(A116,'Change in Proportion Layers'!$A$8:$V$321,13,FALSE)</f>
        <v>-950</v>
      </c>
      <c r="U116" s="246">
        <f>+O116+VLOOKUP(A116,'Change in Proportion Layers'!$A$8:$V$321,7,FALSE)</f>
        <v>-25155</v>
      </c>
      <c r="W116" s="246">
        <f>('OPEB Amounts_Report'!G116-'OPEB Amounts_Report'!M116)</f>
        <v>-306986</v>
      </c>
      <c r="X116" s="282">
        <f>SUM(Q116:U116)-('OPEB Amounts_Report'!G116-'OPEB Amounts_Report'!M116)</f>
        <v>0</v>
      </c>
    </row>
    <row r="117" spans="1:24" s="8" customFormat="1">
      <c r="A117" s="237">
        <v>2362</v>
      </c>
      <c r="B117" s="238" t="s">
        <v>107</v>
      </c>
      <c r="C117" s="48">
        <f t="shared" si="10"/>
        <v>-200842</v>
      </c>
      <c r="D117" s="48">
        <f t="shared" si="11"/>
        <v>-161820</v>
      </c>
      <c r="E117" s="48">
        <f t="shared" si="12"/>
        <v>-162097</v>
      </c>
      <c r="F117" s="48">
        <f t="shared" si="13"/>
        <v>-125889</v>
      </c>
      <c r="G117" s="48">
        <f t="shared" si="14"/>
        <v>-141618</v>
      </c>
      <c r="I117" s="51"/>
      <c r="K117" s="156">
        <f>ROUND(VLOOKUP($A117,'Contribution Allocation_Report'!$A$9:$D$310,4,FALSE)*$K$323,0)</f>
        <v>-143394</v>
      </c>
      <c r="L117" s="156">
        <f>ROUND(VLOOKUP($A117,'Contribution Allocation_Report'!$A$9:$D$310,4,FALSE)*$L$323,0)</f>
        <v>-90239</v>
      </c>
      <c r="M117" s="156">
        <f>ROUND(VLOOKUP($A117,'Contribution Allocation_Report'!$A$9:$D$310,4,FALSE)*$M$323,0)</f>
        <v>-51272</v>
      </c>
      <c r="N117" s="156">
        <f>ROUND(VLOOKUP($A117,'Contribution Allocation_Report'!$A$9:$D$310,4,FALSE)*$N$323,0)</f>
        <v>-10195</v>
      </c>
      <c r="O117" s="246">
        <f>ROUND(VLOOKUP($A117,'Contribution Allocation_Report'!$A$9:$D$310,4,FALSE)*$O$323,0)</f>
        <v>-41931</v>
      </c>
      <c r="Q117" s="246">
        <f>+K117+VLOOKUP(A117,'Change in Proportion Layers'!$A$8:$I$321,3,FALSE)+VLOOKUP(A117,'Change in Proportion Layers'!$A$8:$V$321,10,FALSE)+VLOOKUP(A117,'Change in Proportion Layers'!$A$8:$V$321,16,FALSE)+VLOOKUP(A117,'Change in Proportion Layers'!$A$8:$V$321,21,FALSE)</f>
        <v>-200842</v>
      </c>
      <c r="R117" s="246">
        <f>+L117+VLOOKUP(A117,'Change in Proportion Layers'!$A$8:$V$321,4,FALSE)+VLOOKUP(A117,'Change in Proportion Layers'!$A$8:$V$321,11,FALSE)+VLOOKUP(A117,'Change in Proportion Layers'!$A$8:$V$321,17,FALSE)+VLOOKUP(A117,'Change in Proportion Layers'!$A$8:$V$321,22,FALSE)</f>
        <v>-161820</v>
      </c>
      <c r="S117" s="246">
        <f>+M117+VLOOKUP(A117,'Change in Proportion Layers'!$A$8:$V$321,5,FALSE)+VLOOKUP(A117,'Change in Proportion Layers'!$A$8:$V$321,12,FALSE)+VLOOKUP(A117,'Change in Proportion Layers'!$A$8:$V$321,18,FALSE)</f>
        <v>-162097</v>
      </c>
      <c r="T117" s="246">
        <f>+N117+VLOOKUP(A117,'Change in Proportion Layers'!$A$8:$V$321,6,FALSE)+VLOOKUP(A117,'Change in Proportion Layers'!$A$8:$V$321,13,FALSE)</f>
        <v>-125889</v>
      </c>
      <c r="U117" s="246">
        <f>+O117+VLOOKUP(A117,'Change in Proportion Layers'!$A$8:$V$321,7,FALSE)</f>
        <v>-141618</v>
      </c>
      <c r="W117" s="246">
        <f>('OPEB Amounts_Report'!G117-'OPEB Amounts_Report'!M117)</f>
        <v>-792266</v>
      </c>
      <c r="X117" s="282">
        <f>SUM(Q117:U117)-('OPEB Amounts_Report'!G117-'OPEB Amounts_Report'!M117)</f>
        <v>0</v>
      </c>
    </row>
    <row r="118" spans="1:24" s="8" customFormat="1">
      <c r="A118" s="235">
        <v>5013</v>
      </c>
      <c r="B118" s="236" t="s">
        <v>108</v>
      </c>
      <c r="C118" s="245">
        <f t="shared" si="10"/>
        <v>-129933</v>
      </c>
      <c r="D118" s="245">
        <f t="shared" si="11"/>
        <v>-78850</v>
      </c>
      <c r="E118" s="245">
        <f t="shared" si="12"/>
        <v>-40413</v>
      </c>
      <c r="F118" s="245">
        <f t="shared" si="13"/>
        <v>206</v>
      </c>
      <c r="G118" s="245">
        <f t="shared" si="14"/>
        <v>-32966</v>
      </c>
      <c r="I118" s="51"/>
      <c r="K118" s="156">
        <f>ROUND(VLOOKUP($A118,'Contribution Allocation_Report'!$A$9:$D$310,4,FALSE)*$K$323,0)</f>
        <v>-137441</v>
      </c>
      <c r="L118" s="156">
        <f>ROUND(VLOOKUP($A118,'Contribution Allocation_Report'!$A$9:$D$310,4,FALSE)*$L$323,0)</f>
        <v>-86492</v>
      </c>
      <c r="M118" s="156">
        <f>ROUND(VLOOKUP($A118,'Contribution Allocation_Report'!$A$9:$D$310,4,FALSE)*$M$323,0)</f>
        <v>-49143</v>
      </c>
      <c r="N118" s="156">
        <f>ROUND(VLOOKUP($A118,'Contribution Allocation_Report'!$A$9:$D$310,4,FALSE)*$N$323,0)</f>
        <v>-9772</v>
      </c>
      <c r="O118" s="246">
        <f>ROUND(VLOOKUP($A118,'Contribution Allocation_Report'!$A$9:$D$310,4,FALSE)*$O$323,0)</f>
        <v>-40190</v>
      </c>
      <c r="Q118" s="246">
        <f>+K118+VLOOKUP(A118,'Change in Proportion Layers'!$A$8:$I$321,3,FALSE)+VLOOKUP(A118,'Change in Proportion Layers'!$A$8:$V$321,10,FALSE)+VLOOKUP(A118,'Change in Proportion Layers'!$A$8:$V$321,16,FALSE)+VLOOKUP(A118,'Change in Proportion Layers'!$A$8:$V$321,21,FALSE)</f>
        <v>-129933</v>
      </c>
      <c r="R118" s="246">
        <f>+L118+VLOOKUP(A118,'Change in Proportion Layers'!$A$8:$V$321,4,FALSE)+VLOOKUP(A118,'Change in Proportion Layers'!$A$8:$V$321,11,FALSE)+VLOOKUP(A118,'Change in Proportion Layers'!$A$8:$V$321,17,FALSE)+VLOOKUP(A118,'Change in Proportion Layers'!$A$8:$V$321,22,FALSE)</f>
        <v>-78850</v>
      </c>
      <c r="S118" s="246">
        <f>+M118+VLOOKUP(A118,'Change in Proportion Layers'!$A$8:$V$321,5,FALSE)+VLOOKUP(A118,'Change in Proportion Layers'!$A$8:$V$321,12,FALSE)+VLOOKUP(A118,'Change in Proportion Layers'!$A$8:$V$321,18,FALSE)</f>
        <v>-40413</v>
      </c>
      <c r="T118" s="246">
        <f>+N118+VLOOKUP(A118,'Change in Proportion Layers'!$A$8:$V$321,6,FALSE)+VLOOKUP(A118,'Change in Proportion Layers'!$A$8:$V$321,13,FALSE)</f>
        <v>206</v>
      </c>
      <c r="U118" s="246">
        <f>+O118+VLOOKUP(A118,'Change in Proportion Layers'!$A$8:$V$321,7,FALSE)+1</f>
        <v>-32966</v>
      </c>
      <c r="W118" s="246">
        <f>('OPEB Amounts_Report'!G118-'OPEB Amounts_Report'!M118)</f>
        <v>-281956</v>
      </c>
      <c r="X118" s="282">
        <f>SUM(Q118:U118)-('OPEB Amounts_Report'!G118-'OPEB Amounts_Report'!M118)</f>
        <v>0</v>
      </c>
    </row>
    <row r="119" spans="1:24" s="8" customFormat="1">
      <c r="A119" s="237">
        <v>3110</v>
      </c>
      <c r="B119" s="238" t="s">
        <v>109</v>
      </c>
      <c r="C119" s="48">
        <f t="shared" si="10"/>
        <v>-863758</v>
      </c>
      <c r="D119" s="48">
        <f t="shared" si="11"/>
        <v>-590309</v>
      </c>
      <c r="E119" s="48">
        <f t="shared" si="12"/>
        <v>-340124</v>
      </c>
      <c r="F119" s="48">
        <f t="shared" si="13"/>
        <v>-104681</v>
      </c>
      <c r="G119" s="48">
        <f t="shared" si="14"/>
        <v>-199514</v>
      </c>
      <c r="I119" s="51"/>
      <c r="K119" s="156">
        <f>ROUND(VLOOKUP($A119,'Contribution Allocation_Report'!$A$9:$D$310,4,FALSE)*$K$323,0)</f>
        <v>-693953</v>
      </c>
      <c r="L119" s="156">
        <f>ROUND(VLOOKUP($A119,'Contribution Allocation_Report'!$A$9:$D$310,4,FALSE)*$L$323,0)</f>
        <v>-436709</v>
      </c>
      <c r="M119" s="156">
        <f>ROUND(VLOOKUP($A119,'Contribution Allocation_Report'!$A$9:$D$310,4,FALSE)*$M$323,0)</f>
        <v>-248130</v>
      </c>
      <c r="N119" s="156">
        <f>ROUND(VLOOKUP($A119,'Contribution Allocation_Report'!$A$9:$D$310,4,FALSE)*$N$323,0)</f>
        <v>-49340</v>
      </c>
      <c r="O119" s="246">
        <f>ROUND(VLOOKUP($A119,'Contribution Allocation_Report'!$A$9:$D$310,4,FALSE)*$O$323,0)</f>
        <v>-202925</v>
      </c>
      <c r="Q119" s="246">
        <f>+K119+VLOOKUP(A119,'Change in Proportion Layers'!$A$8:$I$321,3,FALSE)+VLOOKUP(A119,'Change in Proportion Layers'!$A$8:$V$321,10,FALSE)+VLOOKUP(A119,'Change in Proportion Layers'!$A$8:$V$321,16,FALSE)+VLOOKUP(A119,'Change in Proportion Layers'!$A$8:$V$321,21,FALSE)</f>
        <v>-863758</v>
      </c>
      <c r="R119" s="246">
        <f>+L119+VLOOKUP(A119,'Change in Proportion Layers'!$A$8:$V$321,4,FALSE)+VLOOKUP(A119,'Change in Proportion Layers'!$A$8:$V$321,11,FALSE)+VLOOKUP(A119,'Change in Proportion Layers'!$A$8:$V$321,17,FALSE)+VLOOKUP(A119,'Change in Proportion Layers'!$A$8:$V$321,22,FALSE)</f>
        <v>-590309</v>
      </c>
      <c r="S119" s="246">
        <f>+M119+VLOOKUP(A119,'Change in Proportion Layers'!$A$8:$V$321,5,FALSE)+VLOOKUP(A119,'Change in Proportion Layers'!$A$8:$V$321,12,FALSE)+VLOOKUP(A119,'Change in Proportion Layers'!$A$8:$V$321,18,FALSE)</f>
        <v>-340124</v>
      </c>
      <c r="T119" s="246">
        <f>+N119+VLOOKUP(A119,'Change in Proportion Layers'!$A$8:$V$321,6,FALSE)+VLOOKUP(A119,'Change in Proportion Layers'!$A$8:$V$321,13,FALSE)</f>
        <v>-104681</v>
      </c>
      <c r="U119" s="246">
        <f>+O119+VLOOKUP(A119,'Change in Proportion Layers'!$A$8:$V$321,7,FALSE)</f>
        <v>-199514</v>
      </c>
      <c r="W119" s="246">
        <f>('OPEB Amounts_Report'!G119-'OPEB Amounts_Report'!M119)</f>
        <v>-2098386</v>
      </c>
      <c r="X119" s="282">
        <f>SUM(Q119:U119)-('OPEB Amounts_Report'!G119-'OPEB Amounts_Report'!M119)</f>
        <v>0</v>
      </c>
    </row>
    <row r="120" spans="1:24" s="8" customFormat="1">
      <c r="A120" s="235">
        <v>14044</v>
      </c>
      <c r="B120" s="236" t="s">
        <v>110</v>
      </c>
      <c r="C120" s="245">
        <f t="shared" si="10"/>
        <v>-2262178</v>
      </c>
      <c r="D120" s="245">
        <f t="shared" si="11"/>
        <v>-1418163</v>
      </c>
      <c r="E120" s="245">
        <f t="shared" si="12"/>
        <v>-732877</v>
      </c>
      <c r="F120" s="245">
        <f t="shared" si="13"/>
        <v>-65320</v>
      </c>
      <c r="G120" s="245">
        <f t="shared" si="14"/>
        <v>-714512</v>
      </c>
      <c r="I120" s="51"/>
      <c r="K120" s="156">
        <f>ROUND(VLOOKUP($A120,'Contribution Allocation_Report'!$A$9:$D$310,4,FALSE)*$K$323,0)</f>
        <v>-2210300</v>
      </c>
      <c r="L120" s="156">
        <f>ROUND(VLOOKUP($A120,'Contribution Allocation_Report'!$A$9:$D$310,4,FALSE)*$L$323,0)</f>
        <v>-1390955</v>
      </c>
      <c r="M120" s="156">
        <f>ROUND(VLOOKUP($A120,'Contribution Allocation_Report'!$A$9:$D$310,4,FALSE)*$M$323,0)</f>
        <v>-790315</v>
      </c>
      <c r="N120" s="156">
        <f>ROUND(VLOOKUP($A120,'Contribution Allocation_Report'!$A$9:$D$310,4,FALSE)*$N$323,0)</f>
        <v>-157152</v>
      </c>
      <c r="O120" s="246">
        <f>ROUND(VLOOKUP($A120,'Contribution Allocation_Report'!$A$9:$D$310,4,FALSE)*$O$323,0)</f>
        <v>-646332</v>
      </c>
      <c r="Q120" s="246">
        <f>+K120+VLOOKUP(A120,'Change in Proportion Layers'!$A$8:$I$321,3,FALSE)+VLOOKUP(A120,'Change in Proportion Layers'!$A$8:$V$321,10,FALSE)+VLOOKUP(A120,'Change in Proportion Layers'!$A$8:$V$321,16,FALSE)+VLOOKUP(A120,'Change in Proportion Layers'!$A$8:$V$321,21,FALSE)</f>
        <v>-2262178</v>
      </c>
      <c r="R120" s="246">
        <f>+L120+VLOOKUP(A120,'Change in Proportion Layers'!$A$8:$V$321,4,FALSE)+VLOOKUP(A120,'Change in Proportion Layers'!$A$8:$V$321,11,FALSE)+VLOOKUP(A120,'Change in Proportion Layers'!$A$8:$V$321,17,FALSE)+VLOOKUP(A120,'Change in Proportion Layers'!$A$8:$V$321,22,FALSE)</f>
        <v>-1418163</v>
      </c>
      <c r="S120" s="246">
        <f>+M120+VLOOKUP(A120,'Change in Proportion Layers'!$A$8:$V$321,5,FALSE)+VLOOKUP(A120,'Change in Proportion Layers'!$A$8:$V$321,12,FALSE)+VLOOKUP(A120,'Change in Proportion Layers'!$A$8:$V$321,18,FALSE)</f>
        <v>-732877</v>
      </c>
      <c r="T120" s="246">
        <f>+N120+VLOOKUP(A120,'Change in Proportion Layers'!$A$8:$V$321,6,FALSE)+VLOOKUP(A120,'Change in Proportion Layers'!$A$8:$V$321,13,FALSE)</f>
        <v>-65320</v>
      </c>
      <c r="U120" s="246">
        <f>+O120+VLOOKUP(A120,'Change in Proportion Layers'!$A$8:$V$321,7,FALSE)-2</f>
        <v>-714512</v>
      </c>
      <c r="W120" s="246">
        <f>('OPEB Amounts_Report'!G120-'OPEB Amounts_Report'!M120)</f>
        <v>-5193050</v>
      </c>
      <c r="X120" s="282">
        <f>SUM(Q120:U120)-('OPEB Amounts_Report'!G120-'OPEB Amounts_Report'!M120)</f>
        <v>0</v>
      </c>
    </row>
    <row r="121" spans="1:24" s="8" customFormat="1">
      <c r="A121" s="237">
        <v>4009</v>
      </c>
      <c r="B121" s="238" t="s">
        <v>111</v>
      </c>
      <c r="C121" s="48">
        <f t="shared" si="10"/>
        <v>-359917</v>
      </c>
      <c r="D121" s="48">
        <f t="shared" si="11"/>
        <v>-254915</v>
      </c>
      <c r="E121" s="48">
        <f t="shared" si="12"/>
        <v>-171820</v>
      </c>
      <c r="F121" s="48">
        <f t="shared" si="13"/>
        <v>-60641</v>
      </c>
      <c r="G121" s="48">
        <f t="shared" si="14"/>
        <v>-103940</v>
      </c>
      <c r="I121" s="51"/>
      <c r="K121" s="156">
        <f>ROUND(VLOOKUP($A121,'Contribution Allocation_Report'!$A$9:$D$310,4,FALSE)*$K$323,0)</f>
        <v>-295741</v>
      </c>
      <c r="L121" s="156">
        <f>ROUND(VLOOKUP($A121,'Contribution Allocation_Report'!$A$9:$D$310,4,FALSE)*$L$323,0)</f>
        <v>-186112</v>
      </c>
      <c r="M121" s="156">
        <f>ROUND(VLOOKUP($A121,'Contribution Allocation_Report'!$A$9:$D$310,4,FALSE)*$M$323,0)</f>
        <v>-105745</v>
      </c>
      <c r="N121" s="156">
        <f>ROUND(VLOOKUP($A121,'Contribution Allocation_Report'!$A$9:$D$310,4,FALSE)*$N$323,0)</f>
        <v>-21027</v>
      </c>
      <c r="O121" s="246">
        <f>ROUND(VLOOKUP($A121,'Contribution Allocation_Report'!$A$9:$D$310,4,FALSE)*$O$323,0)</f>
        <v>-86480</v>
      </c>
      <c r="Q121" s="246">
        <f>+K121+VLOOKUP(A121,'Change in Proportion Layers'!$A$8:$I$321,3,FALSE)+VLOOKUP(A121,'Change in Proportion Layers'!$A$8:$V$321,10,FALSE)+VLOOKUP(A121,'Change in Proportion Layers'!$A$8:$V$321,16,FALSE)+VLOOKUP(A121,'Change in Proportion Layers'!$A$8:$V$321,21,FALSE)</f>
        <v>-359917</v>
      </c>
      <c r="R121" s="246">
        <f>+L121+VLOOKUP(A121,'Change in Proportion Layers'!$A$8:$V$321,4,FALSE)+VLOOKUP(A121,'Change in Proportion Layers'!$A$8:$V$321,11,FALSE)+VLOOKUP(A121,'Change in Proportion Layers'!$A$8:$V$321,17,FALSE)+VLOOKUP(A121,'Change in Proportion Layers'!$A$8:$V$321,22,FALSE)</f>
        <v>-254915</v>
      </c>
      <c r="S121" s="246">
        <f>+M121+VLOOKUP(A121,'Change in Proportion Layers'!$A$8:$V$321,5,FALSE)+VLOOKUP(A121,'Change in Proportion Layers'!$A$8:$V$321,12,FALSE)+VLOOKUP(A121,'Change in Proportion Layers'!$A$8:$V$321,18,FALSE)</f>
        <v>-171820</v>
      </c>
      <c r="T121" s="246">
        <f>+N121+VLOOKUP(A121,'Change in Proportion Layers'!$A$8:$V$321,6,FALSE)+VLOOKUP(A121,'Change in Proportion Layers'!$A$8:$V$321,13,FALSE)</f>
        <v>-60641</v>
      </c>
      <c r="U121" s="246">
        <f>+O121+VLOOKUP(A121,'Change in Proportion Layers'!$A$8:$V$321,7,FALSE)</f>
        <v>-103940</v>
      </c>
      <c r="W121" s="246">
        <f>('OPEB Amounts_Report'!G121-'OPEB Amounts_Report'!M121)</f>
        <v>-951233</v>
      </c>
      <c r="X121" s="282">
        <f>SUM(Q121:U121)-('OPEB Amounts_Report'!G121-'OPEB Amounts_Report'!M121)</f>
        <v>0</v>
      </c>
    </row>
    <row r="122" spans="1:24" s="8" customFormat="1">
      <c r="A122" s="235">
        <v>7022</v>
      </c>
      <c r="B122" s="236" t="s">
        <v>112</v>
      </c>
      <c r="C122" s="245">
        <f t="shared" si="10"/>
        <v>-758730</v>
      </c>
      <c r="D122" s="245">
        <f t="shared" si="11"/>
        <v>-463147</v>
      </c>
      <c r="E122" s="245">
        <f t="shared" si="12"/>
        <v>-242457</v>
      </c>
      <c r="F122" s="245">
        <f t="shared" si="13"/>
        <v>-30577</v>
      </c>
      <c r="G122" s="245">
        <f t="shared" si="14"/>
        <v>-246658</v>
      </c>
      <c r="I122" s="51"/>
      <c r="K122" s="156">
        <f>ROUND(VLOOKUP($A122,'Contribution Allocation_Report'!$A$9:$D$310,4,FALSE)*$K$323,0)</f>
        <v>-782174</v>
      </c>
      <c r="L122" s="156">
        <f>ROUND(VLOOKUP($A122,'Contribution Allocation_Report'!$A$9:$D$310,4,FALSE)*$L$323,0)</f>
        <v>-492227</v>
      </c>
      <c r="M122" s="156">
        <f>ROUND(VLOOKUP($A122,'Contribution Allocation_Report'!$A$9:$D$310,4,FALSE)*$M$323,0)</f>
        <v>-279674</v>
      </c>
      <c r="N122" s="156">
        <f>ROUND(VLOOKUP($A122,'Contribution Allocation_Report'!$A$9:$D$310,4,FALSE)*$N$323,0)</f>
        <v>-55613</v>
      </c>
      <c r="O122" s="246">
        <f>ROUND(VLOOKUP($A122,'Contribution Allocation_Report'!$A$9:$D$310,4,FALSE)*$O$323,0)</f>
        <v>-228722</v>
      </c>
      <c r="Q122" s="246">
        <f>+K122+VLOOKUP(A122,'Change in Proportion Layers'!$A$8:$I$321,3,FALSE)+VLOOKUP(A122,'Change in Proportion Layers'!$A$8:$V$321,10,FALSE)+VLOOKUP(A122,'Change in Proportion Layers'!$A$8:$V$321,16,FALSE)+VLOOKUP(A122,'Change in Proportion Layers'!$A$8:$V$321,21,FALSE)</f>
        <v>-758730</v>
      </c>
      <c r="R122" s="246">
        <f>+L122+VLOOKUP(A122,'Change in Proportion Layers'!$A$8:$V$321,4,FALSE)+VLOOKUP(A122,'Change in Proportion Layers'!$A$8:$V$321,11,FALSE)+VLOOKUP(A122,'Change in Proportion Layers'!$A$8:$V$321,17,FALSE)+VLOOKUP(A122,'Change in Proportion Layers'!$A$8:$V$321,22,FALSE)</f>
        <v>-463147</v>
      </c>
      <c r="S122" s="246">
        <f>+M122+VLOOKUP(A122,'Change in Proportion Layers'!$A$8:$V$321,5,FALSE)+VLOOKUP(A122,'Change in Proportion Layers'!$A$8:$V$321,12,FALSE)+VLOOKUP(A122,'Change in Proportion Layers'!$A$8:$V$321,18,FALSE)</f>
        <v>-242457</v>
      </c>
      <c r="T122" s="246">
        <f>+N122+VLOOKUP(A122,'Change in Proportion Layers'!$A$8:$V$321,6,FALSE)+VLOOKUP(A122,'Change in Proportion Layers'!$A$8:$V$321,13,FALSE)</f>
        <v>-30577</v>
      </c>
      <c r="U122" s="246">
        <f>+O122+VLOOKUP(A122,'Change in Proportion Layers'!$A$8:$V$321,7,FALSE)</f>
        <v>-246658</v>
      </c>
      <c r="W122" s="246">
        <f>('OPEB Amounts_Report'!G122-'OPEB Amounts_Report'!M122)</f>
        <v>-1741569</v>
      </c>
      <c r="X122" s="282">
        <f>SUM(Q122:U122)-('OPEB Amounts_Report'!G122-'OPEB Amounts_Report'!M122)</f>
        <v>0</v>
      </c>
    </row>
    <row r="123" spans="1:24" s="8" customFormat="1">
      <c r="A123" s="237">
        <v>2430</v>
      </c>
      <c r="B123" s="238" t="s">
        <v>113</v>
      </c>
      <c r="C123" s="48">
        <f t="shared" si="10"/>
        <v>-148757</v>
      </c>
      <c r="D123" s="48">
        <f t="shared" si="11"/>
        <v>-108304</v>
      </c>
      <c r="E123" s="48">
        <f t="shared" si="12"/>
        <v>-89372</v>
      </c>
      <c r="F123" s="48">
        <f t="shared" si="13"/>
        <v>-58057</v>
      </c>
      <c r="G123" s="48">
        <f t="shared" si="14"/>
        <v>-43093</v>
      </c>
      <c r="I123" s="51"/>
      <c r="K123" s="156">
        <f>ROUND(VLOOKUP($A123,'Contribution Allocation_Report'!$A$9:$D$310,4,FALSE)*$K$323,0)</f>
        <v>-121315</v>
      </c>
      <c r="L123" s="156">
        <f>ROUND(VLOOKUP($A123,'Contribution Allocation_Report'!$A$9:$D$310,4,FALSE)*$L$323,0)</f>
        <v>-76344</v>
      </c>
      <c r="M123" s="156">
        <f>ROUND(VLOOKUP($A123,'Contribution Allocation_Report'!$A$9:$D$310,4,FALSE)*$M$323,0)</f>
        <v>-43378</v>
      </c>
      <c r="N123" s="156">
        <f>ROUND(VLOOKUP($A123,'Contribution Allocation_Report'!$A$9:$D$310,4,FALSE)*$N$323,0)</f>
        <v>-8626</v>
      </c>
      <c r="O123" s="246">
        <f>ROUND(VLOOKUP($A123,'Contribution Allocation_Report'!$A$9:$D$310,4,FALSE)*$O$323,0)</f>
        <v>-35475</v>
      </c>
      <c r="Q123" s="246">
        <f>+K123+VLOOKUP(A123,'Change in Proportion Layers'!$A$8:$I$321,3,FALSE)+VLOOKUP(A123,'Change in Proportion Layers'!$A$8:$V$321,10,FALSE)+VLOOKUP(A123,'Change in Proportion Layers'!$A$8:$V$321,16,FALSE)+VLOOKUP(A123,'Change in Proportion Layers'!$A$8:$V$321,21,FALSE)</f>
        <v>-148757</v>
      </c>
      <c r="R123" s="246">
        <f>+L123+VLOOKUP(A123,'Change in Proportion Layers'!$A$8:$V$321,4,FALSE)+VLOOKUP(A123,'Change in Proportion Layers'!$A$8:$V$321,11,FALSE)+VLOOKUP(A123,'Change in Proportion Layers'!$A$8:$V$321,17,FALSE)+VLOOKUP(A123,'Change in Proportion Layers'!$A$8:$V$321,22,FALSE)</f>
        <v>-108304</v>
      </c>
      <c r="S123" s="246">
        <f>+M123+VLOOKUP(A123,'Change in Proportion Layers'!$A$8:$V$321,5,FALSE)+VLOOKUP(A123,'Change in Proportion Layers'!$A$8:$V$321,12,FALSE)+VLOOKUP(A123,'Change in Proportion Layers'!$A$8:$V$321,18,FALSE)</f>
        <v>-89372</v>
      </c>
      <c r="T123" s="246">
        <f>+N123+VLOOKUP(A123,'Change in Proportion Layers'!$A$8:$V$321,6,FALSE)+VLOOKUP(A123,'Change in Proportion Layers'!$A$8:$V$321,13,FALSE)</f>
        <v>-58057</v>
      </c>
      <c r="U123" s="246">
        <f>+O123+VLOOKUP(A123,'Change in Proportion Layers'!$A$8:$V$321,7,FALSE)+1</f>
        <v>-43093</v>
      </c>
      <c r="W123" s="246">
        <f>('OPEB Amounts_Report'!G123-'OPEB Amounts_Report'!M123)</f>
        <v>-447583</v>
      </c>
      <c r="X123" s="282">
        <f>SUM(Q123:U123)-('OPEB Amounts_Report'!G123-'OPEB Amounts_Report'!M123)</f>
        <v>0</v>
      </c>
    </row>
    <row r="124" spans="1:24" s="8" customFormat="1">
      <c r="A124" s="235">
        <v>9150</v>
      </c>
      <c r="B124" s="236" t="s">
        <v>114</v>
      </c>
      <c r="C124" s="245">
        <f t="shared" si="10"/>
        <v>-650439</v>
      </c>
      <c r="D124" s="245">
        <f t="shared" si="11"/>
        <v>-512200</v>
      </c>
      <c r="E124" s="245">
        <f t="shared" si="12"/>
        <v>-178615</v>
      </c>
      <c r="F124" s="245">
        <f t="shared" si="13"/>
        <v>-118229</v>
      </c>
      <c r="G124" s="245">
        <f t="shared" si="14"/>
        <v>-35745</v>
      </c>
      <c r="I124" s="51"/>
      <c r="K124" s="156">
        <f>ROUND(VLOOKUP($A124,'Contribution Allocation_Report'!$A$9:$D$310,4,FALSE)*$K$323,0)</f>
        <v>-64970</v>
      </c>
      <c r="L124" s="156">
        <f>ROUND(VLOOKUP($A124,'Contribution Allocation_Report'!$A$9:$D$310,4,FALSE)*$L$323,0)</f>
        <v>-40886</v>
      </c>
      <c r="M124" s="156">
        <f>ROUND(VLOOKUP($A124,'Contribution Allocation_Report'!$A$9:$D$310,4,FALSE)*$M$323,0)</f>
        <v>-23231</v>
      </c>
      <c r="N124" s="156">
        <f>ROUND(VLOOKUP($A124,'Contribution Allocation_Report'!$A$9:$D$310,4,FALSE)*$N$323,0)</f>
        <v>-4619</v>
      </c>
      <c r="O124" s="246">
        <f>ROUND(VLOOKUP($A124,'Contribution Allocation_Report'!$A$9:$D$310,4,FALSE)*$O$323,0)</f>
        <v>-18998</v>
      </c>
      <c r="Q124" s="246">
        <f>+K124+VLOOKUP(A124,'Change in Proportion Layers'!$A$8:$I$321,3,FALSE)+VLOOKUP(A124,'Change in Proportion Layers'!$A$8:$V$321,10,FALSE)+VLOOKUP(A124,'Change in Proportion Layers'!$A$8:$V$321,16,FALSE)+VLOOKUP(A124,'Change in Proportion Layers'!$A$8:$V$321,21,FALSE)</f>
        <v>-650439</v>
      </c>
      <c r="R124" s="246">
        <f>+L124+VLOOKUP(A124,'Change in Proportion Layers'!$A$8:$V$321,4,FALSE)+VLOOKUP(A124,'Change in Proportion Layers'!$A$8:$V$321,11,FALSE)+VLOOKUP(A124,'Change in Proportion Layers'!$A$8:$V$321,17,FALSE)+VLOOKUP(A124,'Change in Proportion Layers'!$A$8:$V$321,22,FALSE)</f>
        <v>-512200</v>
      </c>
      <c r="S124" s="246">
        <f>+M124+VLOOKUP(A124,'Change in Proportion Layers'!$A$8:$V$321,5,FALSE)+VLOOKUP(A124,'Change in Proportion Layers'!$A$8:$V$321,12,FALSE)+VLOOKUP(A124,'Change in Proportion Layers'!$A$8:$V$321,18,FALSE)</f>
        <v>-178615</v>
      </c>
      <c r="T124" s="246">
        <f>+N124+VLOOKUP(A124,'Change in Proportion Layers'!$A$8:$V$321,6,FALSE)+VLOOKUP(A124,'Change in Proportion Layers'!$A$8:$V$321,13,FALSE)</f>
        <v>-118229</v>
      </c>
      <c r="U124" s="246">
        <f>+O124+VLOOKUP(A124,'Change in Proportion Layers'!$A$8:$V$321,7,FALSE)-1</f>
        <v>-35745</v>
      </c>
      <c r="W124" s="246">
        <f>('OPEB Amounts_Report'!G124-'OPEB Amounts_Report'!M124)</f>
        <v>-1495228</v>
      </c>
      <c r="X124" s="282">
        <f>SUM(Q124:U124)-('OPEB Amounts_Report'!G124-'OPEB Amounts_Report'!M124)</f>
        <v>0</v>
      </c>
    </row>
    <row r="125" spans="1:24" s="8" customFormat="1">
      <c r="A125" s="237">
        <v>6017</v>
      </c>
      <c r="B125" s="238" t="s">
        <v>115</v>
      </c>
      <c r="C125" s="48">
        <f t="shared" si="10"/>
        <v>-5392829</v>
      </c>
      <c r="D125" s="48">
        <f t="shared" si="11"/>
        <v>-2931078</v>
      </c>
      <c r="E125" s="48">
        <f t="shared" si="12"/>
        <v>-784519</v>
      </c>
      <c r="F125" s="48">
        <f t="shared" si="13"/>
        <v>713856</v>
      </c>
      <c r="G125" s="48">
        <f t="shared" si="14"/>
        <v>-994967</v>
      </c>
      <c r="I125" s="51"/>
      <c r="K125" s="156">
        <f>ROUND(VLOOKUP($A125,'Contribution Allocation_Report'!$A$9:$D$310,4,FALSE)*$K$323,0)</f>
        <v>-5970511</v>
      </c>
      <c r="L125" s="156">
        <f>ROUND(VLOOKUP($A125,'Contribution Allocation_Report'!$A$9:$D$310,4,FALSE)*$L$323,0)</f>
        <v>-3757279</v>
      </c>
      <c r="M125" s="156">
        <f>ROUND(VLOOKUP($A125,'Contribution Allocation_Report'!$A$9:$D$310,4,FALSE)*$M$323,0)</f>
        <v>-2134817</v>
      </c>
      <c r="N125" s="156">
        <f>ROUND(VLOOKUP($A125,'Contribution Allocation_Report'!$A$9:$D$310,4,FALSE)*$N$323,0)</f>
        <v>-424504</v>
      </c>
      <c r="O125" s="246">
        <f>ROUND(VLOOKUP($A125,'Contribution Allocation_Report'!$A$9:$D$310,4,FALSE)*$O$323,0)</f>
        <v>-1745886</v>
      </c>
      <c r="Q125" s="246">
        <f>+K125+VLOOKUP(A125,'Change in Proportion Layers'!$A$8:$I$321,3,FALSE)+VLOOKUP(A125,'Change in Proportion Layers'!$A$8:$V$321,10,FALSE)+VLOOKUP(A125,'Change in Proportion Layers'!$A$8:$V$321,16,FALSE)+VLOOKUP(A125,'Change in Proportion Layers'!$A$8:$V$321,21,FALSE)</f>
        <v>-5392829</v>
      </c>
      <c r="R125" s="246">
        <f>+L125+VLOOKUP(A125,'Change in Proportion Layers'!$A$8:$V$321,4,FALSE)+VLOOKUP(A125,'Change in Proportion Layers'!$A$8:$V$321,11,FALSE)+VLOOKUP(A125,'Change in Proportion Layers'!$A$8:$V$321,17,FALSE)+VLOOKUP(A125,'Change in Proportion Layers'!$A$8:$V$321,22,FALSE)</f>
        <v>-2931078</v>
      </c>
      <c r="S125" s="246">
        <f>+M125+VLOOKUP(A125,'Change in Proportion Layers'!$A$8:$V$321,5,FALSE)+VLOOKUP(A125,'Change in Proportion Layers'!$A$8:$V$321,12,FALSE)+VLOOKUP(A125,'Change in Proportion Layers'!$A$8:$V$321,18,FALSE)</f>
        <v>-784519</v>
      </c>
      <c r="T125" s="246">
        <f>+N125+VLOOKUP(A125,'Change in Proportion Layers'!$A$8:$V$321,6,FALSE)+VLOOKUP(A125,'Change in Proportion Layers'!$A$8:$V$321,13,FALSE)</f>
        <v>713856</v>
      </c>
      <c r="U125" s="246">
        <f>+O125+VLOOKUP(A125,'Change in Proportion Layers'!$A$8:$V$321,7,FALSE)+1</f>
        <v>-994967</v>
      </c>
      <c r="W125" s="246">
        <f>('OPEB Amounts_Report'!G125-'OPEB Amounts_Report'!M125)</f>
        <v>-9389537</v>
      </c>
      <c r="X125" s="282">
        <f>SUM(Q125:U125)-('OPEB Amounts_Report'!G125-'OPEB Amounts_Report'!M125)</f>
        <v>0</v>
      </c>
    </row>
    <row r="126" spans="1:24" s="8" customFormat="1">
      <c r="A126" s="235">
        <v>26080</v>
      </c>
      <c r="B126" s="236" t="s">
        <v>116</v>
      </c>
      <c r="C126" s="245">
        <f t="shared" si="10"/>
        <v>-134853</v>
      </c>
      <c r="D126" s="245">
        <f t="shared" si="11"/>
        <v>-76053</v>
      </c>
      <c r="E126" s="245">
        <f t="shared" si="12"/>
        <v>-37137</v>
      </c>
      <c r="F126" s="245">
        <f t="shared" si="13"/>
        <v>7678</v>
      </c>
      <c r="G126" s="245">
        <f t="shared" si="14"/>
        <v>-28982</v>
      </c>
      <c r="I126" s="51"/>
      <c r="K126" s="156">
        <f>ROUND(VLOOKUP($A126,'Contribution Allocation_Report'!$A$9:$D$310,4,FALSE)*$K$323,0)</f>
        <v>-163176</v>
      </c>
      <c r="L126" s="156">
        <f>ROUND(VLOOKUP($A126,'Contribution Allocation_Report'!$A$9:$D$310,4,FALSE)*$L$323,0)</f>
        <v>-102687</v>
      </c>
      <c r="M126" s="156">
        <f>ROUND(VLOOKUP($A126,'Contribution Allocation_Report'!$A$9:$D$310,4,FALSE)*$M$323,0)</f>
        <v>-58345</v>
      </c>
      <c r="N126" s="156">
        <f>ROUND(VLOOKUP($A126,'Contribution Allocation_Report'!$A$9:$D$310,4,FALSE)*$N$323,0)</f>
        <v>-11602</v>
      </c>
      <c r="O126" s="246">
        <f>ROUND(VLOOKUP($A126,'Contribution Allocation_Report'!$A$9:$D$310,4,FALSE)*$O$323,0)</f>
        <v>-47716</v>
      </c>
      <c r="Q126" s="246">
        <f>+K126+VLOOKUP(A126,'Change in Proportion Layers'!$A$8:$I$321,3,FALSE)+VLOOKUP(A126,'Change in Proportion Layers'!$A$8:$V$321,10,FALSE)+VLOOKUP(A126,'Change in Proportion Layers'!$A$8:$V$321,16,FALSE)+VLOOKUP(A126,'Change in Proportion Layers'!$A$8:$V$321,21,FALSE)</f>
        <v>-134853</v>
      </c>
      <c r="R126" s="246">
        <f>+L126+VLOOKUP(A126,'Change in Proportion Layers'!$A$8:$V$321,4,FALSE)+VLOOKUP(A126,'Change in Proportion Layers'!$A$8:$V$321,11,FALSE)+VLOOKUP(A126,'Change in Proportion Layers'!$A$8:$V$321,17,FALSE)+VLOOKUP(A126,'Change in Proportion Layers'!$A$8:$V$321,22,FALSE)</f>
        <v>-76053</v>
      </c>
      <c r="S126" s="246">
        <f>+M126+VLOOKUP(A126,'Change in Proportion Layers'!$A$8:$V$321,5,FALSE)+VLOOKUP(A126,'Change in Proportion Layers'!$A$8:$V$321,12,FALSE)+VLOOKUP(A126,'Change in Proportion Layers'!$A$8:$V$321,18,FALSE)</f>
        <v>-37137</v>
      </c>
      <c r="T126" s="246">
        <f>+N126+VLOOKUP(A126,'Change in Proportion Layers'!$A$8:$V$321,6,FALSE)+VLOOKUP(A126,'Change in Proportion Layers'!$A$8:$V$321,13,FALSE)</f>
        <v>7678</v>
      </c>
      <c r="U126" s="246">
        <f>+O126+VLOOKUP(A126,'Change in Proportion Layers'!$A$8:$V$321,7,FALSE)+1</f>
        <v>-28982</v>
      </c>
      <c r="W126" s="246">
        <f>('OPEB Amounts_Report'!G126-'OPEB Amounts_Report'!M126)</f>
        <v>-269347</v>
      </c>
      <c r="X126" s="282">
        <f>SUM(Q126:U126)-('OPEB Amounts_Report'!G126-'OPEB Amounts_Report'!M126)</f>
        <v>0</v>
      </c>
    </row>
    <row r="127" spans="1:24" s="8" customFormat="1">
      <c r="A127" s="237">
        <v>2327</v>
      </c>
      <c r="B127" s="238" t="s">
        <v>117</v>
      </c>
      <c r="C127" s="48">
        <f t="shared" si="10"/>
        <v>-202151</v>
      </c>
      <c r="D127" s="48">
        <f t="shared" si="11"/>
        <v>-130562</v>
      </c>
      <c r="E127" s="48">
        <f t="shared" si="12"/>
        <v>-85479</v>
      </c>
      <c r="F127" s="48">
        <f t="shared" si="13"/>
        <v>-29300</v>
      </c>
      <c r="G127" s="48">
        <f t="shared" si="14"/>
        <v>-93333</v>
      </c>
      <c r="I127" s="51"/>
      <c r="K127" s="156">
        <f>ROUND(VLOOKUP($A127,'Contribution Allocation_Report'!$A$9:$D$310,4,FALSE)*$K$323,0)</f>
        <v>-202739</v>
      </c>
      <c r="L127" s="156">
        <f>ROUND(VLOOKUP($A127,'Contribution Allocation_Report'!$A$9:$D$310,4,FALSE)*$L$323,0)</f>
        <v>-127585</v>
      </c>
      <c r="M127" s="156">
        <f>ROUND(VLOOKUP($A127,'Contribution Allocation_Report'!$A$9:$D$310,4,FALSE)*$M$323,0)</f>
        <v>-72491</v>
      </c>
      <c r="N127" s="156">
        <f>ROUND(VLOOKUP($A127,'Contribution Allocation_Report'!$A$9:$D$310,4,FALSE)*$N$323,0)</f>
        <v>-14415</v>
      </c>
      <c r="O127" s="246">
        <f>ROUND(VLOOKUP($A127,'Contribution Allocation_Report'!$A$9:$D$310,4,FALSE)*$O$323,0)</f>
        <v>-59285</v>
      </c>
      <c r="Q127" s="246">
        <f>+K127+VLOOKUP(A127,'Change in Proportion Layers'!$A$8:$I$321,3,FALSE)+VLOOKUP(A127,'Change in Proportion Layers'!$A$8:$V$321,10,FALSE)+VLOOKUP(A127,'Change in Proportion Layers'!$A$8:$V$321,16,FALSE)+VLOOKUP(A127,'Change in Proportion Layers'!$A$8:$V$321,21,FALSE)</f>
        <v>-202151</v>
      </c>
      <c r="R127" s="246">
        <f>+L127+VLOOKUP(A127,'Change in Proportion Layers'!$A$8:$V$321,4,FALSE)+VLOOKUP(A127,'Change in Proportion Layers'!$A$8:$V$321,11,FALSE)+VLOOKUP(A127,'Change in Proportion Layers'!$A$8:$V$321,17,FALSE)+VLOOKUP(A127,'Change in Proportion Layers'!$A$8:$V$321,22,FALSE)</f>
        <v>-130562</v>
      </c>
      <c r="S127" s="246">
        <f>+M127+VLOOKUP(A127,'Change in Proportion Layers'!$A$8:$V$321,5,FALSE)+VLOOKUP(A127,'Change in Proportion Layers'!$A$8:$V$321,12,FALSE)+VLOOKUP(A127,'Change in Proportion Layers'!$A$8:$V$321,18,FALSE)</f>
        <v>-85479</v>
      </c>
      <c r="T127" s="246">
        <f>+N127+VLOOKUP(A127,'Change in Proportion Layers'!$A$8:$V$321,6,FALSE)+VLOOKUP(A127,'Change in Proportion Layers'!$A$8:$V$321,13,FALSE)</f>
        <v>-29300</v>
      </c>
      <c r="U127" s="246">
        <f>+O127+VLOOKUP(A127,'Change in Proportion Layers'!$A$8:$V$321,7,FALSE)</f>
        <v>-93333</v>
      </c>
      <c r="W127" s="246">
        <f>('OPEB Amounts_Report'!G127-'OPEB Amounts_Report'!M127)</f>
        <v>-540825</v>
      </c>
      <c r="X127" s="282">
        <f>SUM(Q127:U127)-('OPEB Amounts_Report'!G127-'OPEB Amounts_Report'!M127)</f>
        <v>0</v>
      </c>
    </row>
    <row r="128" spans="1:24" s="8" customFormat="1">
      <c r="A128" s="235">
        <v>10119</v>
      </c>
      <c r="B128" s="236" t="s">
        <v>118</v>
      </c>
      <c r="C128" s="245">
        <f t="shared" si="10"/>
        <v>-160090</v>
      </c>
      <c r="D128" s="245">
        <f t="shared" si="11"/>
        <v>-108335</v>
      </c>
      <c r="E128" s="245">
        <f t="shared" si="12"/>
        <v>-51925</v>
      </c>
      <c r="F128" s="245">
        <f t="shared" si="13"/>
        <v>-19372</v>
      </c>
      <c r="G128" s="245">
        <f t="shared" si="14"/>
        <v>-28372</v>
      </c>
      <c r="I128" s="51"/>
      <c r="K128" s="156">
        <f>ROUND(VLOOKUP($A128,'Contribution Allocation_Report'!$A$9:$D$310,4,FALSE)*$K$323,0)</f>
        <v>-112503</v>
      </c>
      <c r="L128" s="156">
        <f>ROUND(VLOOKUP($A128,'Contribution Allocation_Report'!$A$9:$D$310,4,FALSE)*$L$323,0)</f>
        <v>-70799</v>
      </c>
      <c r="M128" s="156">
        <f>ROUND(VLOOKUP($A128,'Contribution Allocation_Report'!$A$9:$D$310,4,FALSE)*$M$323,0)</f>
        <v>-40226</v>
      </c>
      <c r="N128" s="156">
        <f>ROUND(VLOOKUP($A128,'Contribution Allocation_Report'!$A$9:$D$310,4,FALSE)*$N$323,0)</f>
        <v>-7999</v>
      </c>
      <c r="O128" s="246">
        <f>ROUND(VLOOKUP($A128,'Contribution Allocation_Report'!$A$9:$D$310,4,FALSE)*$O$323,0)</f>
        <v>-32898</v>
      </c>
      <c r="Q128" s="246">
        <f>+K128+VLOOKUP(A128,'Change in Proportion Layers'!$A$8:$I$321,3,FALSE)+VLOOKUP(A128,'Change in Proportion Layers'!$A$8:$V$321,10,FALSE)+VLOOKUP(A128,'Change in Proportion Layers'!$A$8:$V$321,16,FALSE)+VLOOKUP(A128,'Change in Proportion Layers'!$A$8:$V$321,21,FALSE)</f>
        <v>-160090</v>
      </c>
      <c r="R128" s="246">
        <f>+L128+VLOOKUP(A128,'Change in Proportion Layers'!$A$8:$V$321,4,FALSE)+VLOOKUP(A128,'Change in Proportion Layers'!$A$8:$V$321,11,FALSE)+VLOOKUP(A128,'Change in Proportion Layers'!$A$8:$V$321,17,FALSE)+VLOOKUP(A128,'Change in Proportion Layers'!$A$8:$V$321,22,FALSE)</f>
        <v>-108335</v>
      </c>
      <c r="S128" s="246">
        <f>+M128+VLOOKUP(A128,'Change in Proportion Layers'!$A$8:$V$321,5,FALSE)+VLOOKUP(A128,'Change in Proportion Layers'!$A$8:$V$321,12,FALSE)+VLOOKUP(A128,'Change in Proportion Layers'!$A$8:$V$321,18,FALSE)</f>
        <v>-51925</v>
      </c>
      <c r="T128" s="246">
        <f>+N128+VLOOKUP(A128,'Change in Proportion Layers'!$A$8:$V$321,6,FALSE)+VLOOKUP(A128,'Change in Proportion Layers'!$A$8:$V$321,13,FALSE)</f>
        <v>-19372</v>
      </c>
      <c r="U128" s="246">
        <f>+O128+VLOOKUP(A128,'Change in Proportion Layers'!$A$8:$V$321,7,FALSE)</f>
        <v>-28372</v>
      </c>
      <c r="W128" s="246">
        <f>('OPEB Amounts_Report'!G128-'OPEB Amounts_Report'!M128)</f>
        <v>-368094</v>
      </c>
      <c r="X128" s="282">
        <f>SUM(Q128:U128)-('OPEB Amounts_Report'!G128-'OPEB Amounts_Report'!M128)</f>
        <v>0</v>
      </c>
    </row>
    <row r="129" spans="1:24" s="8" customFormat="1">
      <c r="A129" s="237">
        <v>573</v>
      </c>
      <c r="B129" s="238" t="s">
        <v>412</v>
      </c>
      <c r="C129" s="48">
        <f t="shared" si="10"/>
        <v>161478</v>
      </c>
      <c r="D129" s="48">
        <f t="shared" si="11"/>
        <v>228848</v>
      </c>
      <c r="E129" s="48">
        <f t="shared" si="12"/>
        <v>231258</v>
      </c>
      <c r="F129" s="48">
        <f t="shared" si="13"/>
        <v>197110</v>
      </c>
      <c r="G129" s="48">
        <f t="shared" si="14"/>
        <v>23210</v>
      </c>
      <c r="I129" s="51"/>
      <c r="K129" s="156">
        <f>ROUND(VLOOKUP($A129,'Contribution Allocation_Report'!$A$9:$D$310,4,FALSE)*$K$323,0)</f>
        <v>-181739</v>
      </c>
      <c r="L129" s="156">
        <f>ROUND(VLOOKUP($A129,'Contribution Allocation_Report'!$A$9:$D$310,4,FALSE)*$L$323,0)</f>
        <v>-114369</v>
      </c>
      <c r="M129" s="156">
        <f>ROUND(VLOOKUP($A129,'Contribution Allocation_Report'!$A$9:$D$310,4,FALSE)*$M$323,0)</f>
        <v>-64982</v>
      </c>
      <c r="N129" s="156">
        <f>ROUND(VLOOKUP($A129,'Contribution Allocation_Report'!$A$9:$D$310,4,FALSE)*$N$323,0)</f>
        <v>-12922</v>
      </c>
      <c r="O129" s="246">
        <f>ROUND(VLOOKUP($A129,'Contribution Allocation_Report'!$A$9:$D$310,4,FALSE)*$O$323,0)</f>
        <v>-53144</v>
      </c>
      <c r="Q129" s="246">
        <f>+K129+VLOOKUP(A129,'Change in Proportion Layers'!$A$8:$I$321,3,FALSE)+VLOOKUP(A129,'Change in Proportion Layers'!$A$8:$V$321,10,FALSE)+VLOOKUP(A129,'Change in Proportion Layers'!$A$8:$V$321,16,FALSE)+VLOOKUP(A129,'Change in Proportion Layers'!$A$8:$V$321,21,FALSE)</f>
        <v>161478</v>
      </c>
      <c r="R129" s="246">
        <f>+L129+VLOOKUP(A129,'Change in Proportion Layers'!$A$8:$V$321,4,FALSE)+VLOOKUP(A129,'Change in Proportion Layers'!$A$8:$V$321,11,FALSE)+VLOOKUP(A129,'Change in Proportion Layers'!$A$8:$V$321,17,FALSE)+VLOOKUP(A129,'Change in Proportion Layers'!$A$8:$V$321,22,FALSE)</f>
        <v>228848</v>
      </c>
      <c r="S129" s="246">
        <f>+M129+VLOOKUP(A129,'Change in Proportion Layers'!$A$8:$V$321,5,FALSE)+VLOOKUP(A129,'Change in Proportion Layers'!$A$8:$V$321,12,FALSE)+VLOOKUP(A129,'Change in Proportion Layers'!$A$8:$V$321,18,FALSE)</f>
        <v>231258</v>
      </c>
      <c r="T129" s="246">
        <f>+N129+VLOOKUP(A129,'Change in Proportion Layers'!$A$8:$V$321,6,FALSE)+VLOOKUP(A129,'Change in Proportion Layers'!$A$8:$V$321,13,FALSE)</f>
        <v>197110</v>
      </c>
      <c r="U129" s="246">
        <f>+O129+VLOOKUP(A129,'Change in Proportion Layers'!$A$8:$V$321,7,FALSE)+1</f>
        <v>23210</v>
      </c>
      <c r="W129" s="246">
        <f>('OPEB Amounts_Report'!G129-'OPEB Amounts_Report'!M129)</f>
        <v>841904</v>
      </c>
      <c r="X129" s="282">
        <f>SUM(Q129:U129)-('OPEB Amounts_Report'!G129-'OPEB Amounts_Report'!M129)</f>
        <v>0</v>
      </c>
    </row>
    <row r="130" spans="1:24" s="8" customFormat="1">
      <c r="A130" s="235">
        <v>2368</v>
      </c>
      <c r="B130" s="236" t="s">
        <v>119</v>
      </c>
      <c r="C130" s="245">
        <f t="shared" si="10"/>
        <v>-120075</v>
      </c>
      <c r="D130" s="245">
        <f t="shared" si="11"/>
        <v>-48613</v>
      </c>
      <c r="E130" s="245">
        <f t="shared" si="12"/>
        <v>-7290</v>
      </c>
      <c r="F130" s="245">
        <f t="shared" si="13"/>
        <v>91056</v>
      </c>
      <c r="G130" s="245">
        <f t="shared" si="14"/>
        <v>29757</v>
      </c>
      <c r="I130" s="51"/>
      <c r="K130" s="156">
        <f>ROUND(VLOOKUP($A130,'Contribution Allocation_Report'!$A$9:$D$310,4,FALSE)*$K$323,0)</f>
        <v>-234802</v>
      </c>
      <c r="L130" s="156">
        <f>ROUND(VLOOKUP($A130,'Contribution Allocation_Report'!$A$9:$D$310,4,FALSE)*$L$323,0)</f>
        <v>-147762</v>
      </c>
      <c r="M130" s="156">
        <f>ROUND(VLOOKUP($A130,'Contribution Allocation_Report'!$A$9:$D$310,4,FALSE)*$M$323,0)</f>
        <v>-83956</v>
      </c>
      <c r="N130" s="156">
        <f>ROUND(VLOOKUP($A130,'Contribution Allocation_Report'!$A$9:$D$310,4,FALSE)*$N$323,0)</f>
        <v>-16694</v>
      </c>
      <c r="O130" s="246">
        <f>ROUND(VLOOKUP($A130,'Contribution Allocation_Report'!$A$9:$D$310,4,FALSE)*$O$323,0)</f>
        <v>-68660</v>
      </c>
      <c r="Q130" s="246">
        <f>+K130+VLOOKUP(A130,'Change in Proportion Layers'!$A$8:$I$321,3,FALSE)+VLOOKUP(A130,'Change in Proportion Layers'!$A$8:$V$321,10,FALSE)+VLOOKUP(A130,'Change in Proportion Layers'!$A$8:$V$321,16,FALSE)+VLOOKUP(A130,'Change in Proportion Layers'!$A$8:$V$321,21,FALSE)</f>
        <v>-120075</v>
      </c>
      <c r="R130" s="246">
        <f>+L130+VLOOKUP(A130,'Change in Proportion Layers'!$A$8:$V$321,4,FALSE)+VLOOKUP(A130,'Change in Proportion Layers'!$A$8:$V$321,11,FALSE)+VLOOKUP(A130,'Change in Proportion Layers'!$A$8:$V$321,17,FALSE)+VLOOKUP(A130,'Change in Proportion Layers'!$A$8:$V$321,22,FALSE)</f>
        <v>-48613</v>
      </c>
      <c r="S130" s="246">
        <f>+M130+VLOOKUP(A130,'Change in Proportion Layers'!$A$8:$V$321,5,FALSE)+VLOOKUP(A130,'Change in Proportion Layers'!$A$8:$V$321,12,FALSE)+VLOOKUP(A130,'Change in Proportion Layers'!$A$8:$V$321,18,FALSE)</f>
        <v>-7290</v>
      </c>
      <c r="T130" s="246">
        <f>+N130+VLOOKUP(A130,'Change in Proportion Layers'!$A$8:$V$321,6,FALSE)+VLOOKUP(A130,'Change in Proportion Layers'!$A$8:$V$321,13,FALSE)</f>
        <v>91056</v>
      </c>
      <c r="U130" s="246">
        <f>+O130+VLOOKUP(A130,'Change in Proportion Layers'!$A$8:$V$321,7,FALSE)-1</f>
        <v>29757</v>
      </c>
      <c r="W130" s="246">
        <f>('OPEB Amounts_Report'!G130-'OPEB Amounts_Report'!M130)</f>
        <v>-55165</v>
      </c>
      <c r="X130" s="282">
        <f>SUM(Q130:U130)-('OPEB Amounts_Report'!G130-'OPEB Amounts_Report'!M130)</f>
        <v>0</v>
      </c>
    </row>
    <row r="131" spans="1:24" s="8" customFormat="1">
      <c r="A131" s="237">
        <v>7420</v>
      </c>
      <c r="B131" s="238" t="s">
        <v>120</v>
      </c>
      <c r="C131" s="48">
        <f t="shared" si="10"/>
        <v>-46808</v>
      </c>
      <c r="D131" s="48">
        <f t="shared" si="11"/>
        <v>-17347</v>
      </c>
      <c r="E131" s="48">
        <f t="shared" si="12"/>
        <v>-21373</v>
      </c>
      <c r="F131" s="48">
        <f t="shared" si="13"/>
        <v>3552</v>
      </c>
      <c r="G131" s="48">
        <f t="shared" si="14"/>
        <v>-18254</v>
      </c>
      <c r="I131" s="51"/>
      <c r="K131" s="156">
        <f>ROUND(VLOOKUP($A131,'Contribution Allocation_Report'!$A$9:$D$310,4,FALSE)*$K$323,0)</f>
        <v>-111284</v>
      </c>
      <c r="L131" s="156">
        <f>ROUND(VLOOKUP($A131,'Contribution Allocation_Report'!$A$9:$D$310,4,FALSE)*$L$323,0)</f>
        <v>-70032</v>
      </c>
      <c r="M131" s="156">
        <f>ROUND(VLOOKUP($A131,'Contribution Allocation_Report'!$A$9:$D$310,4,FALSE)*$M$323,0)</f>
        <v>-39791</v>
      </c>
      <c r="N131" s="156">
        <f>ROUND(VLOOKUP($A131,'Contribution Allocation_Report'!$A$9:$D$310,4,FALSE)*$N$323,0)</f>
        <v>-7912</v>
      </c>
      <c r="O131" s="246">
        <f>ROUND(VLOOKUP($A131,'Contribution Allocation_Report'!$A$9:$D$310,4,FALSE)*$O$323,0)</f>
        <v>-32541</v>
      </c>
      <c r="Q131" s="246">
        <f>+K131+VLOOKUP(A131,'Change in Proportion Layers'!$A$8:$I$321,3,FALSE)+VLOOKUP(A131,'Change in Proportion Layers'!$A$8:$V$321,10,FALSE)+VLOOKUP(A131,'Change in Proportion Layers'!$A$8:$V$321,16,FALSE)+VLOOKUP(A131,'Change in Proportion Layers'!$A$8:$V$321,21,FALSE)</f>
        <v>-46808</v>
      </c>
      <c r="R131" s="246">
        <f>+L131+VLOOKUP(A131,'Change in Proportion Layers'!$A$8:$V$321,4,FALSE)+VLOOKUP(A131,'Change in Proportion Layers'!$A$8:$V$321,11,FALSE)+VLOOKUP(A131,'Change in Proportion Layers'!$A$8:$V$321,17,FALSE)+VLOOKUP(A131,'Change in Proportion Layers'!$A$8:$V$321,22,FALSE)</f>
        <v>-17347</v>
      </c>
      <c r="S131" s="246">
        <f>+M131+VLOOKUP(A131,'Change in Proportion Layers'!$A$8:$V$321,5,FALSE)+VLOOKUP(A131,'Change in Proportion Layers'!$A$8:$V$321,12,FALSE)+VLOOKUP(A131,'Change in Proportion Layers'!$A$8:$V$321,18,FALSE)</f>
        <v>-21373</v>
      </c>
      <c r="T131" s="246">
        <f>+N131+VLOOKUP(A131,'Change in Proportion Layers'!$A$8:$V$321,6,FALSE)+VLOOKUP(A131,'Change in Proportion Layers'!$A$8:$V$321,13,FALSE)</f>
        <v>3552</v>
      </c>
      <c r="U131" s="246">
        <f>+O131+VLOOKUP(A131,'Change in Proportion Layers'!$A$8:$V$321,7,FALSE)</f>
        <v>-18254</v>
      </c>
      <c r="W131" s="246">
        <f>('OPEB Amounts_Report'!G131-'OPEB Amounts_Report'!M131)</f>
        <v>-100230</v>
      </c>
      <c r="X131" s="282">
        <f>SUM(Q131:U131)-('OPEB Amounts_Report'!G131-'OPEB Amounts_Report'!M131)</f>
        <v>0</v>
      </c>
    </row>
    <row r="132" spans="1:24" s="8" customFormat="1">
      <c r="A132" s="235">
        <v>6018</v>
      </c>
      <c r="B132" s="236" t="s">
        <v>121</v>
      </c>
      <c r="C132" s="245">
        <f t="shared" si="10"/>
        <v>-283251</v>
      </c>
      <c r="D132" s="245">
        <f t="shared" si="11"/>
        <v>-164338</v>
      </c>
      <c r="E132" s="245">
        <f t="shared" si="12"/>
        <v>-88633</v>
      </c>
      <c r="F132" s="245">
        <f t="shared" si="13"/>
        <v>10214</v>
      </c>
      <c r="G132" s="245">
        <f t="shared" si="14"/>
        <v>-73619</v>
      </c>
      <c r="I132" s="51"/>
      <c r="K132" s="156">
        <f>ROUND(VLOOKUP($A132,'Contribution Allocation_Report'!$A$9:$D$310,4,FALSE)*$K$323,0)</f>
        <v>-339148</v>
      </c>
      <c r="L132" s="156">
        <f>ROUND(VLOOKUP($A132,'Contribution Allocation_Report'!$A$9:$D$310,4,FALSE)*$L$323,0)</f>
        <v>-213428</v>
      </c>
      <c r="M132" s="156">
        <f>ROUND(VLOOKUP($A132,'Contribution Allocation_Report'!$A$9:$D$310,4,FALSE)*$M$323,0)</f>
        <v>-121266</v>
      </c>
      <c r="N132" s="156">
        <f>ROUND(VLOOKUP($A132,'Contribution Allocation_Report'!$A$9:$D$310,4,FALSE)*$N$323,0)</f>
        <v>-24113</v>
      </c>
      <c r="O132" s="246">
        <f>ROUND(VLOOKUP($A132,'Contribution Allocation_Report'!$A$9:$D$310,4,FALSE)*$O$323,0)</f>
        <v>-99173</v>
      </c>
      <c r="Q132" s="246">
        <f>+K132+VLOOKUP(A132,'Change in Proportion Layers'!$A$8:$I$321,3,FALSE)+VLOOKUP(A132,'Change in Proportion Layers'!$A$8:$V$321,10,FALSE)+VLOOKUP(A132,'Change in Proportion Layers'!$A$8:$V$321,16,FALSE)+VLOOKUP(A132,'Change in Proportion Layers'!$A$8:$V$321,21,FALSE)</f>
        <v>-283251</v>
      </c>
      <c r="R132" s="246">
        <f>+L132+VLOOKUP(A132,'Change in Proportion Layers'!$A$8:$V$321,4,FALSE)+VLOOKUP(A132,'Change in Proportion Layers'!$A$8:$V$321,11,FALSE)+VLOOKUP(A132,'Change in Proportion Layers'!$A$8:$V$321,17,FALSE)+VLOOKUP(A132,'Change in Proportion Layers'!$A$8:$V$321,22,FALSE)</f>
        <v>-164338</v>
      </c>
      <c r="S132" s="246">
        <f>+M132+VLOOKUP(A132,'Change in Proportion Layers'!$A$8:$V$321,5,FALSE)+VLOOKUP(A132,'Change in Proportion Layers'!$A$8:$V$321,12,FALSE)+VLOOKUP(A132,'Change in Proportion Layers'!$A$8:$V$321,18,FALSE)</f>
        <v>-88633</v>
      </c>
      <c r="T132" s="246">
        <f>+N132+VLOOKUP(A132,'Change in Proportion Layers'!$A$8:$V$321,6,FALSE)+VLOOKUP(A132,'Change in Proportion Layers'!$A$8:$V$321,13,FALSE)</f>
        <v>10214</v>
      </c>
      <c r="U132" s="246">
        <f>+O132+VLOOKUP(A132,'Change in Proportion Layers'!$A$8:$V$321,7,FALSE)-1</f>
        <v>-73619</v>
      </c>
      <c r="W132" s="246">
        <f>('OPEB Amounts_Report'!G132-'OPEB Amounts_Report'!M132)</f>
        <v>-599627</v>
      </c>
      <c r="X132" s="282">
        <f>SUM(Q132:U132)-('OPEB Amounts_Report'!G132-'OPEB Amounts_Report'!M132)</f>
        <v>0</v>
      </c>
    </row>
    <row r="133" spans="1:24" s="8" customFormat="1">
      <c r="A133" s="237">
        <v>3321</v>
      </c>
      <c r="B133" s="238" t="s">
        <v>122</v>
      </c>
      <c r="C133" s="48">
        <f t="shared" si="10"/>
        <v>-131729</v>
      </c>
      <c r="D133" s="48">
        <f t="shared" si="11"/>
        <v>-70516</v>
      </c>
      <c r="E133" s="48">
        <f t="shared" si="12"/>
        <v>-16617</v>
      </c>
      <c r="F133" s="48">
        <f t="shared" si="13"/>
        <v>11826</v>
      </c>
      <c r="G133" s="48">
        <f t="shared" si="14"/>
        <v>-31996</v>
      </c>
      <c r="I133" s="51"/>
      <c r="K133" s="156">
        <f>ROUND(VLOOKUP($A133,'Contribution Allocation_Report'!$A$9:$D$310,4,FALSE)*$K$323,0)</f>
        <v>-141988</v>
      </c>
      <c r="L133" s="156">
        <f>ROUND(VLOOKUP($A133,'Contribution Allocation_Report'!$A$9:$D$310,4,FALSE)*$L$323,0)</f>
        <v>-89354</v>
      </c>
      <c r="M133" s="156">
        <f>ROUND(VLOOKUP($A133,'Contribution Allocation_Report'!$A$9:$D$310,4,FALSE)*$M$323,0)</f>
        <v>-50769</v>
      </c>
      <c r="N133" s="156">
        <f>ROUND(VLOOKUP($A133,'Contribution Allocation_Report'!$A$9:$D$310,4,FALSE)*$N$323,0)</f>
        <v>-10095</v>
      </c>
      <c r="O133" s="246">
        <f>ROUND(VLOOKUP($A133,'Contribution Allocation_Report'!$A$9:$D$310,4,FALSE)*$O$323,0)</f>
        <v>-41520</v>
      </c>
      <c r="Q133" s="246">
        <f>+K133+VLOOKUP(A133,'Change in Proportion Layers'!$A$8:$I$321,3,FALSE)+VLOOKUP(A133,'Change in Proportion Layers'!$A$8:$V$321,10,FALSE)+VLOOKUP(A133,'Change in Proportion Layers'!$A$8:$V$321,16,FALSE)+VLOOKUP(A133,'Change in Proportion Layers'!$A$8:$V$321,21,FALSE)</f>
        <v>-131729</v>
      </c>
      <c r="R133" s="246">
        <f>+L133+VLOOKUP(A133,'Change in Proportion Layers'!$A$8:$V$321,4,FALSE)+VLOOKUP(A133,'Change in Proportion Layers'!$A$8:$V$321,11,FALSE)+VLOOKUP(A133,'Change in Proportion Layers'!$A$8:$V$321,17,FALSE)+VLOOKUP(A133,'Change in Proportion Layers'!$A$8:$V$321,22,FALSE)</f>
        <v>-70516</v>
      </c>
      <c r="S133" s="246">
        <f>+M133+VLOOKUP(A133,'Change in Proportion Layers'!$A$8:$V$321,5,FALSE)+VLOOKUP(A133,'Change in Proportion Layers'!$A$8:$V$321,12,FALSE)+VLOOKUP(A133,'Change in Proportion Layers'!$A$8:$V$321,18,FALSE)</f>
        <v>-16617</v>
      </c>
      <c r="T133" s="246">
        <f>+N133+VLOOKUP(A133,'Change in Proportion Layers'!$A$8:$V$321,6,FALSE)+VLOOKUP(A133,'Change in Proportion Layers'!$A$8:$V$321,13,FALSE)</f>
        <v>11826</v>
      </c>
      <c r="U133" s="246">
        <f>+O133+VLOOKUP(A133,'Change in Proportion Layers'!$A$8:$V$321,7,FALSE)+1</f>
        <v>-31996</v>
      </c>
      <c r="W133" s="246">
        <f>('OPEB Amounts_Report'!G133-'OPEB Amounts_Report'!M133)</f>
        <v>-239032</v>
      </c>
      <c r="X133" s="282">
        <f>SUM(Q133:U133)-('OPEB Amounts_Report'!G133-'OPEB Amounts_Report'!M133)</f>
        <v>0</v>
      </c>
    </row>
    <row r="134" spans="1:24" s="8" customFormat="1">
      <c r="A134" s="235">
        <v>29122</v>
      </c>
      <c r="B134" s="236" t="s">
        <v>123</v>
      </c>
      <c r="C134" s="245">
        <f t="shared" si="10"/>
        <v>-278450</v>
      </c>
      <c r="D134" s="245">
        <f t="shared" si="11"/>
        <v>-192880</v>
      </c>
      <c r="E134" s="245">
        <f t="shared" si="12"/>
        <v>-88380</v>
      </c>
      <c r="F134" s="245">
        <f t="shared" si="13"/>
        <v>-10934</v>
      </c>
      <c r="G134" s="245">
        <f t="shared" si="14"/>
        <v>-100089</v>
      </c>
      <c r="I134" s="51"/>
      <c r="K134" s="156">
        <f>ROUND(VLOOKUP($A134,'Contribution Allocation_Report'!$A$9:$D$310,4,FALSE)*$K$323,0)</f>
        <v>-189473</v>
      </c>
      <c r="L134" s="156">
        <f>ROUND(VLOOKUP($A134,'Contribution Allocation_Report'!$A$9:$D$310,4,FALSE)*$L$323,0)</f>
        <v>-119237</v>
      </c>
      <c r="M134" s="156">
        <f>ROUND(VLOOKUP($A134,'Contribution Allocation_Report'!$A$9:$D$310,4,FALSE)*$M$323,0)</f>
        <v>-67748</v>
      </c>
      <c r="N134" s="156">
        <f>ROUND(VLOOKUP($A134,'Contribution Allocation_Report'!$A$9:$D$310,4,FALSE)*$N$323,0)</f>
        <v>-13472</v>
      </c>
      <c r="O134" s="246">
        <f>ROUND(VLOOKUP($A134,'Contribution Allocation_Report'!$A$9:$D$310,4,FALSE)*$O$323,0)</f>
        <v>-55405</v>
      </c>
      <c r="Q134" s="246">
        <f>+K134+VLOOKUP(A134,'Change in Proportion Layers'!$A$8:$I$321,3,FALSE)+VLOOKUP(A134,'Change in Proportion Layers'!$A$8:$V$321,10,FALSE)+VLOOKUP(A134,'Change in Proportion Layers'!$A$8:$V$321,16,FALSE)+VLOOKUP(A134,'Change in Proportion Layers'!$A$8:$V$321,21,FALSE)</f>
        <v>-278450</v>
      </c>
      <c r="R134" s="246">
        <f>+L134+VLOOKUP(A134,'Change in Proportion Layers'!$A$8:$V$321,4,FALSE)+VLOOKUP(A134,'Change in Proportion Layers'!$A$8:$V$321,11,FALSE)+VLOOKUP(A134,'Change in Proportion Layers'!$A$8:$V$321,17,FALSE)+VLOOKUP(A134,'Change in Proportion Layers'!$A$8:$V$321,22,FALSE)</f>
        <v>-192880</v>
      </c>
      <c r="S134" s="246">
        <f>+M134+VLOOKUP(A134,'Change in Proportion Layers'!$A$8:$V$321,5,FALSE)+VLOOKUP(A134,'Change in Proportion Layers'!$A$8:$V$321,12,FALSE)+VLOOKUP(A134,'Change in Proportion Layers'!$A$8:$V$321,18,FALSE)</f>
        <v>-88380</v>
      </c>
      <c r="T134" s="246">
        <f>+N134+VLOOKUP(A134,'Change in Proportion Layers'!$A$8:$V$321,6,FALSE)+VLOOKUP(A134,'Change in Proportion Layers'!$A$8:$V$321,13,FALSE)</f>
        <v>-10934</v>
      </c>
      <c r="U134" s="246">
        <f>+O134+VLOOKUP(A134,'Change in Proportion Layers'!$A$8:$V$321,7,FALSE)+1</f>
        <v>-100089</v>
      </c>
      <c r="W134" s="246">
        <f>('OPEB Amounts_Report'!G134-'OPEB Amounts_Report'!M134)</f>
        <v>-670733</v>
      </c>
      <c r="X134" s="282">
        <f>SUM(Q134:U134)-('OPEB Amounts_Report'!G134-'OPEB Amounts_Report'!M134)</f>
        <v>0</v>
      </c>
    </row>
    <row r="135" spans="1:24" s="8" customFormat="1">
      <c r="A135" s="237">
        <v>29088</v>
      </c>
      <c r="B135" s="238" t="s">
        <v>124</v>
      </c>
      <c r="C135" s="48">
        <f t="shared" si="10"/>
        <v>-296174</v>
      </c>
      <c r="D135" s="48">
        <f t="shared" si="11"/>
        <v>-204694</v>
      </c>
      <c r="E135" s="48">
        <f t="shared" si="12"/>
        <v>-141982</v>
      </c>
      <c r="F135" s="48">
        <f t="shared" si="13"/>
        <v>-68992</v>
      </c>
      <c r="G135" s="48">
        <f t="shared" si="14"/>
        <v>-75511</v>
      </c>
      <c r="I135" s="51"/>
      <c r="K135" s="156">
        <f>ROUND(VLOOKUP($A135,'Contribution Allocation_Report'!$A$9:$D$310,4,FALSE)*$K$323,0)</f>
        <v>-252803</v>
      </c>
      <c r="L135" s="156">
        <f>ROUND(VLOOKUP($A135,'Contribution Allocation_Report'!$A$9:$D$310,4,FALSE)*$L$323,0)</f>
        <v>-159090</v>
      </c>
      <c r="M135" s="156">
        <f>ROUND(VLOOKUP($A135,'Contribution Allocation_Report'!$A$9:$D$310,4,FALSE)*$M$323,0)</f>
        <v>-90392</v>
      </c>
      <c r="N135" s="156">
        <f>ROUND(VLOOKUP($A135,'Contribution Allocation_Report'!$A$9:$D$310,4,FALSE)*$N$323,0)</f>
        <v>-17974</v>
      </c>
      <c r="O135" s="246">
        <f>ROUND(VLOOKUP($A135,'Contribution Allocation_Report'!$A$9:$D$310,4,FALSE)*$O$323,0)</f>
        <v>-73924</v>
      </c>
      <c r="Q135" s="246">
        <f>+K135+VLOOKUP(A135,'Change in Proportion Layers'!$A$8:$I$321,3,FALSE)+VLOOKUP(A135,'Change in Proportion Layers'!$A$8:$V$321,10,FALSE)+VLOOKUP(A135,'Change in Proportion Layers'!$A$8:$V$321,16,FALSE)+VLOOKUP(A135,'Change in Proportion Layers'!$A$8:$V$321,21,FALSE)</f>
        <v>-296174</v>
      </c>
      <c r="R135" s="246">
        <f>+L135+VLOOKUP(A135,'Change in Proportion Layers'!$A$8:$V$321,4,FALSE)+VLOOKUP(A135,'Change in Proportion Layers'!$A$8:$V$321,11,FALSE)+VLOOKUP(A135,'Change in Proportion Layers'!$A$8:$V$321,17,FALSE)+VLOOKUP(A135,'Change in Proportion Layers'!$A$8:$V$321,22,FALSE)</f>
        <v>-204694</v>
      </c>
      <c r="S135" s="246">
        <f>+M135+VLOOKUP(A135,'Change in Proportion Layers'!$A$8:$V$321,5,FALSE)+VLOOKUP(A135,'Change in Proportion Layers'!$A$8:$V$321,12,FALSE)+VLOOKUP(A135,'Change in Proportion Layers'!$A$8:$V$321,18,FALSE)</f>
        <v>-141982</v>
      </c>
      <c r="T135" s="246">
        <f>+N135+VLOOKUP(A135,'Change in Proportion Layers'!$A$8:$V$321,6,FALSE)+VLOOKUP(A135,'Change in Proportion Layers'!$A$8:$V$321,13,FALSE)</f>
        <v>-68992</v>
      </c>
      <c r="U135" s="246">
        <f>+O135+VLOOKUP(A135,'Change in Proportion Layers'!$A$8:$V$321,7,FALSE)-1</f>
        <v>-75511</v>
      </c>
      <c r="W135" s="246">
        <f>('OPEB Amounts_Report'!G135-'OPEB Amounts_Report'!M135)</f>
        <v>-787353</v>
      </c>
      <c r="X135" s="282">
        <f>SUM(Q135:U135)-('OPEB Amounts_Report'!G135-'OPEB Amounts_Report'!M135)</f>
        <v>0</v>
      </c>
    </row>
    <row r="136" spans="1:24" s="8" customFormat="1">
      <c r="A136" s="235">
        <v>7337</v>
      </c>
      <c r="B136" s="236" t="s">
        <v>125</v>
      </c>
      <c r="C136" s="245">
        <f t="shared" si="10"/>
        <v>-136098</v>
      </c>
      <c r="D136" s="245">
        <f t="shared" si="11"/>
        <v>-110037</v>
      </c>
      <c r="E136" s="245">
        <f t="shared" si="12"/>
        <v>-79050</v>
      </c>
      <c r="F136" s="245">
        <f t="shared" si="13"/>
        <v>-45041</v>
      </c>
      <c r="G136" s="245">
        <f t="shared" si="14"/>
        <v>-37627</v>
      </c>
      <c r="I136" s="51"/>
      <c r="K136" s="156">
        <f>ROUND(VLOOKUP($A136,'Contribution Allocation_Report'!$A$9:$D$310,4,FALSE)*$K$323,0)</f>
        <v>-65158</v>
      </c>
      <c r="L136" s="156">
        <f>ROUND(VLOOKUP($A136,'Contribution Allocation_Report'!$A$9:$D$310,4,FALSE)*$L$323,0)</f>
        <v>-41004</v>
      </c>
      <c r="M136" s="156">
        <f>ROUND(VLOOKUP($A136,'Contribution Allocation_Report'!$A$9:$D$310,4,FALSE)*$M$323,0)</f>
        <v>-23298</v>
      </c>
      <c r="N136" s="156">
        <f>ROUND(VLOOKUP($A136,'Contribution Allocation_Report'!$A$9:$D$310,4,FALSE)*$N$323,0)</f>
        <v>-4633</v>
      </c>
      <c r="O136" s="246">
        <f>ROUND(VLOOKUP($A136,'Contribution Allocation_Report'!$A$9:$D$310,4,FALSE)*$O$323,0)</f>
        <v>-19053</v>
      </c>
      <c r="Q136" s="246">
        <f>+K136+VLOOKUP(A136,'Change in Proportion Layers'!$A$8:$I$321,3,FALSE)+VLOOKUP(A136,'Change in Proportion Layers'!$A$8:$V$321,10,FALSE)+VLOOKUP(A136,'Change in Proportion Layers'!$A$8:$V$321,16,FALSE)+VLOOKUP(A136,'Change in Proportion Layers'!$A$8:$V$321,21,FALSE)</f>
        <v>-136098</v>
      </c>
      <c r="R136" s="246">
        <f>+L136+VLOOKUP(A136,'Change in Proportion Layers'!$A$8:$V$321,4,FALSE)+VLOOKUP(A136,'Change in Proportion Layers'!$A$8:$V$321,11,FALSE)+VLOOKUP(A136,'Change in Proportion Layers'!$A$8:$V$321,17,FALSE)+VLOOKUP(A136,'Change in Proportion Layers'!$A$8:$V$321,22,FALSE)</f>
        <v>-110037</v>
      </c>
      <c r="S136" s="246">
        <f>+M136+VLOOKUP(A136,'Change in Proportion Layers'!$A$8:$V$321,5,FALSE)+VLOOKUP(A136,'Change in Proportion Layers'!$A$8:$V$321,12,FALSE)+VLOOKUP(A136,'Change in Proportion Layers'!$A$8:$V$321,18,FALSE)</f>
        <v>-79050</v>
      </c>
      <c r="T136" s="246">
        <f>+N136+VLOOKUP(A136,'Change in Proportion Layers'!$A$8:$V$321,6,FALSE)+VLOOKUP(A136,'Change in Proportion Layers'!$A$8:$V$321,13,FALSE)</f>
        <v>-45041</v>
      </c>
      <c r="U136" s="246">
        <f>+O136+VLOOKUP(A136,'Change in Proportion Layers'!$A$8:$V$321,7,FALSE)</f>
        <v>-37627</v>
      </c>
      <c r="W136" s="246">
        <f>('OPEB Amounts_Report'!G136-'OPEB Amounts_Report'!M136)</f>
        <v>-407853</v>
      </c>
      <c r="X136" s="282">
        <f>SUM(Q136:U136)-('OPEB Amounts_Report'!G136-'OPEB Amounts_Report'!M136)</f>
        <v>0</v>
      </c>
    </row>
    <row r="137" spans="1:24" s="8" customFormat="1">
      <c r="A137" s="237">
        <v>2329</v>
      </c>
      <c r="B137" s="238" t="s">
        <v>126</v>
      </c>
      <c r="C137" s="48">
        <f t="shared" si="10"/>
        <v>-305933</v>
      </c>
      <c r="D137" s="48">
        <f t="shared" si="11"/>
        <v>-235000</v>
      </c>
      <c r="E137" s="48">
        <f t="shared" si="12"/>
        <v>-193347</v>
      </c>
      <c r="F137" s="48">
        <f t="shared" si="13"/>
        <v>-130652</v>
      </c>
      <c r="G137" s="48">
        <f t="shared" si="14"/>
        <v>-48830</v>
      </c>
      <c r="I137" s="51"/>
      <c r="K137" s="156">
        <f>ROUND(VLOOKUP($A137,'Contribution Allocation_Report'!$A$9:$D$310,4,FALSE)*$K$323,0)</f>
        <v>-207145</v>
      </c>
      <c r="L137" s="156">
        <f>ROUND(VLOOKUP($A137,'Contribution Allocation_Report'!$A$9:$D$310,4,FALSE)*$L$323,0)</f>
        <v>-130358</v>
      </c>
      <c r="M137" s="156">
        <f>ROUND(VLOOKUP($A137,'Contribution Allocation_Report'!$A$9:$D$310,4,FALSE)*$M$323,0)</f>
        <v>-74067</v>
      </c>
      <c r="N137" s="156">
        <f>ROUND(VLOOKUP($A137,'Contribution Allocation_Report'!$A$9:$D$310,4,FALSE)*$N$323,0)</f>
        <v>-14728</v>
      </c>
      <c r="O137" s="246">
        <f>ROUND(VLOOKUP($A137,'Contribution Allocation_Report'!$A$9:$D$310,4,FALSE)*$O$323,0)</f>
        <v>-60573</v>
      </c>
      <c r="Q137" s="246">
        <f>+K137+VLOOKUP(A137,'Change in Proportion Layers'!$A$8:$I$321,3,FALSE)+VLOOKUP(A137,'Change in Proportion Layers'!$A$8:$V$321,10,FALSE)+VLOOKUP(A137,'Change in Proportion Layers'!$A$8:$V$321,16,FALSE)+VLOOKUP(A137,'Change in Proportion Layers'!$A$8:$V$321,21,FALSE)</f>
        <v>-305933</v>
      </c>
      <c r="R137" s="246">
        <f>+L137+VLOOKUP(A137,'Change in Proportion Layers'!$A$8:$V$321,4,FALSE)+VLOOKUP(A137,'Change in Proportion Layers'!$A$8:$V$321,11,FALSE)+VLOOKUP(A137,'Change in Proportion Layers'!$A$8:$V$321,17,FALSE)+VLOOKUP(A137,'Change in Proportion Layers'!$A$8:$V$321,22,FALSE)</f>
        <v>-235000</v>
      </c>
      <c r="S137" s="246">
        <f>+M137+VLOOKUP(A137,'Change in Proportion Layers'!$A$8:$V$321,5,FALSE)+VLOOKUP(A137,'Change in Proportion Layers'!$A$8:$V$321,12,FALSE)+VLOOKUP(A137,'Change in Proportion Layers'!$A$8:$V$321,18,FALSE)</f>
        <v>-193347</v>
      </c>
      <c r="T137" s="246">
        <f>+N137+VLOOKUP(A137,'Change in Proportion Layers'!$A$8:$V$321,6,FALSE)+VLOOKUP(A137,'Change in Proportion Layers'!$A$8:$V$321,13,FALSE)</f>
        <v>-130652</v>
      </c>
      <c r="U137" s="246">
        <f>+O137+VLOOKUP(A137,'Change in Proportion Layers'!$A$8:$V$321,7,FALSE)-2</f>
        <v>-48830</v>
      </c>
      <c r="W137" s="246">
        <f>('OPEB Amounts_Report'!G137-'OPEB Amounts_Report'!M137)</f>
        <v>-913762</v>
      </c>
      <c r="X137" s="282">
        <f>SUM(Q137:U137)-('OPEB Amounts_Report'!G137-'OPEB Amounts_Report'!M137)</f>
        <v>0</v>
      </c>
    </row>
    <row r="138" spans="1:24" s="8" customFormat="1">
      <c r="A138" s="235">
        <v>2343</v>
      </c>
      <c r="B138" s="236" t="s">
        <v>127</v>
      </c>
      <c r="C138" s="245">
        <f t="shared" si="10"/>
        <v>-243582</v>
      </c>
      <c r="D138" s="245">
        <f t="shared" si="11"/>
        <v>-143952</v>
      </c>
      <c r="E138" s="245">
        <f t="shared" si="12"/>
        <v>-51400</v>
      </c>
      <c r="F138" s="245">
        <f t="shared" si="13"/>
        <v>-13877</v>
      </c>
      <c r="G138" s="245">
        <f t="shared" si="14"/>
        <v>-41010</v>
      </c>
      <c r="I138" s="51"/>
      <c r="K138" s="156">
        <f>ROUND(VLOOKUP($A138,'Contribution Allocation_Report'!$A$9:$D$310,4,FALSE)*$K$323,0)</f>
        <v>-218958</v>
      </c>
      <c r="L138" s="156">
        <f>ROUND(VLOOKUP($A138,'Contribution Allocation_Report'!$A$9:$D$310,4,FALSE)*$L$323,0)</f>
        <v>-137792</v>
      </c>
      <c r="M138" s="156">
        <f>ROUND(VLOOKUP($A138,'Contribution Allocation_Report'!$A$9:$D$310,4,FALSE)*$M$323,0)</f>
        <v>-78291</v>
      </c>
      <c r="N138" s="156">
        <f>ROUND(VLOOKUP($A138,'Contribution Allocation_Report'!$A$9:$D$310,4,FALSE)*$N$323,0)</f>
        <v>-15568</v>
      </c>
      <c r="O138" s="246">
        <f>ROUND(VLOOKUP($A138,'Contribution Allocation_Report'!$A$9:$D$310,4,FALSE)*$O$323,0)</f>
        <v>-64027</v>
      </c>
      <c r="Q138" s="246">
        <f>+K138+VLOOKUP(A138,'Change in Proportion Layers'!$A$8:$I$321,3,FALSE)+VLOOKUP(A138,'Change in Proportion Layers'!$A$8:$V$321,10,FALSE)+VLOOKUP(A138,'Change in Proportion Layers'!$A$8:$V$321,16,FALSE)+VLOOKUP(A138,'Change in Proportion Layers'!$A$8:$V$321,21,FALSE)</f>
        <v>-243582</v>
      </c>
      <c r="R138" s="246">
        <f>+L138+VLOOKUP(A138,'Change in Proportion Layers'!$A$8:$V$321,4,FALSE)+VLOOKUP(A138,'Change in Proportion Layers'!$A$8:$V$321,11,FALSE)+VLOOKUP(A138,'Change in Proportion Layers'!$A$8:$V$321,17,FALSE)+VLOOKUP(A138,'Change in Proportion Layers'!$A$8:$V$321,22,FALSE)</f>
        <v>-143952</v>
      </c>
      <c r="S138" s="246">
        <f>+M138+VLOOKUP(A138,'Change in Proportion Layers'!$A$8:$V$321,5,FALSE)+VLOOKUP(A138,'Change in Proportion Layers'!$A$8:$V$321,12,FALSE)+VLOOKUP(A138,'Change in Proportion Layers'!$A$8:$V$321,18,FALSE)</f>
        <v>-51400</v>
      </c>
      <c r="T138" s="246">
        <f>+N138+VLOOKUP(A138,'Change in Proportion Layers'!$A$8:$V$321,6,FALSE)+VLOOKUP(A138,'Change in Proportion Layers'!$A$8:$V$321,13,FALSE)</f>
        <v>-13877</v>
      </c>
      <c r="U138" s="246">
        <f>+O138+VLOOKUP(A138,'Change in Proportion Layers'!$A$8:$V$321,7,FALSE)</f>
        <v>-41010</v>
      </c>
      <c r="W138" s="246">
        <f>('OPEB Amounts_Report'!G138-'OPEB Amounts_Report'!M138)</f>
        <v>-493821</v>
      </c>
      <c r="X138" s="282">
        <f>SUM(Q138:U138)-('OPEB Amounts_Report'!G138-'OPEB Amounts_Report'!M138)</f>
        <v>0</v>
      </c>
    </row>
    <row r="139" spans="1:24" s="8" customFormat="1">
      <c r="A139" s="237">
        <v>17425</v>
      </c>
      <c r="B139" s="238" t="s">
        <v>128</v>
      </c>
      <c r="C139" s="48">
        <f t="shared" si="10"/>
        <v>-90192</v>
      </c>
      <c r="D139" s="48">
        <f t="shared" si="11"/>
        <v>-78581</v>
      </c>
      <c r="E139" s="48">
        <f t="shared" si="12"/>
        <v>-60155</v>
      </c>
      <c r="F139" s="48">
        <f t="shared" si="13"/>
        <v>-40205</v>
      </c>
      <c r="G139" s="48">
        <f t="shared" si="14"/>
        <v>-37036</v>
      </c>
      <c r="I139" s="51"/>
      <c r="K139" s="156">
        <f>ROUND(VLOOKUP($A139,'Contribution Allocation_Report'!$A$9:$D$310,4,FALSE)*$K$323,0)</f>
        <v>-26766</v>
      </c>
      <c r="L139" s="156">
        <f>ROUND(VLOOKUP($A139,'Contribution Allocation_Report'!$A$9:$D$310,4,FALSE)*$L$323,0)</f>
        <v>-16844</v>
      </c>
      <c r="M139" s="156">
        <f>ROUND(VLOOKUP($A139,'Contribution Allocation_Report'!$A$9:$D$310,4,FALSE)*$M$323,0)</f>
        <v>-9571</v>
      </c>
      <c r="N139" s="156">
        <f>ROUND(VLOOKUP($A139,'Contribution Allocation_Report'!$A$9:$D$310,4,FALSE)*$N$323,0)</f>
        <v>-1903</v>
      </c>
      <c r="O139" s="246">
        <f>ROUND(VLOOKUP($A139,'Contribution Allocation_Report'!$A$9:$D$310,4,FALSE)*$O$323,0)</f>
        <v>-7827</v>
      </c>
      <c r="Q139" s="246">
        <f>+K139+VLOOKUP(A139,'Change in Proportion Layers'!$A$8:$I$321,3,FALSE)+VLOOKUP(A139,'Change in Proportion Layers'!$A$8:$V$321,10,FALSE)+VLOOKUP(A139,'Change in Proportion Layers'!$A$8:$V$321,16,FALSE)+VLOOKUP(A139,'Change in Proportion Layers'!$A$8:$V$321,21,FALSE)</f>
        <v>-90192</v>
      </c>
      <c r="R139" s="246">
        <f>+L139+VLOOKUP(A139,'Change in Proportion Layers'!$A$8:$V$321,4,FALSE)+VLOOKUP(A139,'Change in Proportion Layers'!$A$8:$V$321,11,FALSE)+VLOOKUP(A139,'Change in Proportion Layers'!$A$8:$V$321,17,FALSE)+VLOOKUP(A139,'Change in Proportion Layers'!$A$8:$V$321,22,FALSE)</f>
        <v>-78581</v>
      </c>
      <c r="S139" s="246">
        <f>+M139+VLOOKUP(A139,'Change in Proportion Layers'!$A$8:$V$321,5,FALSE)+VLOOKUP(A139,'Change in Proportion Layers'!$A$8:$V$321,12,FALSE)+VLOOKUP(A139,'Change in Proportion Layers'!$A$8:$V$321,18,FALSE)</f>
        <v>-60155</v>
      </c>
      <c r="T139" s="246">
        <f>+N139+VLOOKUP(A139,'Change in Proportion Layers'!$A$8:$V$321,6,FALSE)+VLOOKUP(A139,'Change in Proportion Layers'!$A$8:$V$321,13,FALSE)</f>
        <v>-40205</v>
      </c>
      <c r="U139" s="246">
        <f>+O139+VLOOKUP(A139,'Change in Proportion Layers'!$A$8:$V$321,7,FALSE)</f>
        <v>-37036</v>
      </c>
      <c r="W139" s="246">
        <f>('OPEB Amounts_Report'!G139-'OPEB Amounts_Report'!M139)</f>
        <v>-306169</v>
      </c>
      <c r="X139" s="282">
        <f>SUM(Q139:U139)-('OPEB Amounts_Report'!G139-'OPEB Amounts_Report'!M139)</f>
        <v>0</v>
      </c>
    </row>
    <row r="140" spans="1:24" s="8" customFormat="1">
      <c r="A140" s="235">
        <v>4010</v>
      </c>
      <c r="B140" s="236" t="s">
        <v>129</v>
      </c>
      <c r="C140" s="245">
        <f t="shared" ref="C140:C202" si="15">+Q140</f>
        <v>-96903</v>
      </c>
      <c r="D140" s="245">
        <f t="shared" ref="D140:D202" si="16">+R140</f>
        <v>-51734</v>
      </c>
      <c r="E140" s="245">
        <f t="shared" ref="E140:E202" si="17">+S140</f>
        <v>-19578</v>
      </c>
      <c r="F140" s="245">
        <f t="shared" ref="F140:F202" si="18">+T140</f>
        <v>6927</v>
      </c>
      <c r="G140" s="245">
        <f t="shared" ref="G140:G202" si="19">+U140</f>
        <v>-29283</v>
      </c>
      <c r="I140" s="51"/>
      <c r="K140" s="156">
        <f>ROUND(VLOOKUP($A140,'Contribution Allocation_Report'!$A$9:$D$310,4,FALSE)*$K$323,0)</f>
        <v>-117518</v>
      </c>
      <c r="L140" s="156">
        <f>ROUND(VLOOKUP($A140,'Contribution Allocation_Report'!$A$9:$D$310,4,FALSE)*$L$323,0)</f>
        <v>-73955</v>
      </c>
      <c r="M140" s="156">
        <f>ROUND(VLOOKUP($A140,'Contribution Allocation_Report'!$A$9:$D$310,4,FALSE)*$M$323,0)</f>
        <v>-42020</v>
      </c>
      <c r="N140" s="156">
        <f>ROUND(VLOOKUP($A140,'Contribution Allocation_Report'!$A$9:$D$310,4,FALSE)*$N$323,0)</f>
        <v>-8356</v>
      </c>
      <c r="O140" s="246">
        <f>ROUND(VLOOKUP($A140,'Contribution Allocation_Report'!$A$9:$D$310,4,FALSE)*$O$323,0)</f>
        <v>-34364</v>
      </c>
      <c r="Q140" s="246">
        <f>+K140+VLOOKUP(A140,'Change in Proportion Layers'!$A$8:$I$321,3,FALSE)+VLOOKUP(A140,'Change in Proportion Layers'!$A$8:$V$321,10,FALSE)+VLOOKUP(A140,'Change in Proportion Layers'!$A$8:$V$321,16,FALSE)+VLOOKUP(A140,'Change in Proportion Layers'!$A$8:$V$321,21,FALSE)</f>
        <v>-96903</v>
      </c>
      <c r="R140" s="246">
        <f>+L140+VLOOKUP(A140,'Change in Proportion Layers'!$A$8:$V$321,4,FALSE)+VLOOKUP(A140,'Change in Proportion Layers'!$A$8:$V$321,11,FALSE)+VLOOKUP(A140,'Change in Proportion Layers'!$A$8:$V$321,17,FALSE)+VLOOKUP(A140,'Change in Proportion Layers'!$A$8:$V$321,22,FALSE)</f>
        <v>-51734</v>
      </c>
      <c r="S140" s="246">
        <f>+M140+VLOOKUP(A140,'Change in Proportion Layers'!$A$8:$V$321,5,FALSE)+VLOOKUP(A140,'Change in Proportion Layers'!$A$8:$V$321,12,FALSE)+VLOOKUP(A140,'Change in Proportion Layers'!$A$8:$V$321,18,FALSE)</f>
        <v>-19578</v>
      </c>
      <c r="T140" s="246">
        <f>+N140+VLOOKUP(A140,'Change in Proportion Layers'!$A$8:$V$321,6,FALSE)+VLOOKUP(A140,'Change in Proportion Layers'!$A$8:$V$321,13,FALSE)</f>
        <v>6927</v>
      </c>
      <c r="U140" s="246">
        <f>+O140+VLOOKUP(A140,'Change in Proportion Layers'!$A$8:$V$321,7,FALSE)</f>
        <v>-29283</v>
      </c>
      <c r="W140" s="246">
        <f>('OPEB Amounts_Report'!G140-'OPEB Amounts_Report'!M140)</f>
        <v>-190571</v>
      </c>
      <c r="X140" s="282">
        <f>SUM(Q140:U140)-('OPEB Amounts_Report'!G140-'OPEB Amounts_Report'!M140)</f>
        <v>0</v>
      </c>
    </row>
    <row r="141" spans="1:24" s="8" customFormat="1">
      <c r="A141" s="237">
        <v>7023</v>
      </c>
      <c r="B141" s="238" t="s">
        <v>130</v>
      </c>
      <c r="C141" s="48">
        <f t="shared" si="15"/>
        <v>-13673415</v>
      </c>
      <c r="D141" s="48">
        <f t="shared" si="16"/>
        <v>-8250514</v>
      </c>
      <c r="E141" s="48">
        <f t="shared" si="17"/>
        <v>-4525688</v>
      </c>
      <c r="F141" s="48">
        <f t="shared" si="18"/>
        <v>-469034</v>
      </c>
      <c r="G141" s="48">
        <f t="shared" si="19"/>
        <v>-3927491</v>
      </c>
      <c r="I141" s="51"/>
      <c r="K141" s="156">
        <f>ROUND(VLOOKUP($A141,'Contribution Allocation_Report'!$A$9:$D$310,4,FALSE)*$K$323,0)</f>
        <v>-14839228</v>
      </c>
      <c r="L141" s="156">
        <f>ROUND(VLOOKUP($A141,'Contribution Allocation_Report'!$A$9:$D$310,4,FALSE)*$L$323,0)</f>
        <v>-9338416</v>
      </c>
      <c r="M141" s="156">
        <f>ROUND(VLOOKUP($A141,'Contribution Allocation_Report'!$A$9:$D$310,4,FALSE)*$M$323,0)</f>
        <v>-5305917</v>
      </c>
      <c r="N141" s="156">
        <f>ROUND(VLOOKUP($A141,'Contribution Allocation_Report'!$A$9:$D$310,4,FALSE)*$N$323,0)</f>
        <v>-1055070</v>
      </c>
      <c r="O141" s="246">
        <f>ROUND(VLOOKUP($A141,'Contribution Allocation_Report'!$A$9:$D$310,4,FALSE)*$O$323,0)</f>
        <v>-4339260</v>
      </c>
      <c r="Q141" s="246">
        <f>+K141+VLOOKUP(A141,'Change in Proportion Layers'!$A$8:$I$321,3,FALSE)+VLOOKUP(A141,'Change in Proportion Layers'!$A$8:$V$321,10,FALSE)+VLOOKUP(A141,'Change in Proportion Layers'!$A$8:$V$321,16,FALSE)+VLOOKUP(A141,'Change in Proportion Layers'!$A$8:$V$321,21,FALSE)</f>
        <v>-13673415</v>
      </c>
      <c r="R141" s="246">
        <f>+L141+VLOOKUP(A141,'Change in Proportion Layers'!$A$8:$V$321,4,FALSE)+VLOOKUP(A141,'Change in Proportion Layers'!$A$8:$V$321,11,FALSE)+VLOOKUP(A141,'Change in Proportion Layers'!$A$8:$V$321,17,FALSE)+VLOOKUP(A141,'Change in Proportion Layers'!$A$8:$V$321,22,FALSE)</f>
        <v>-8250514</v>
      </c>
      <c r="S141" s="246">
        <f>+M141+VLOOKUP(A141,'Change in Proportion Layers'!$A$8:$V$321,5,FALSE)+VLOOKUP(A141,'Change in Proportion Layers'!$A$8:$V$321,12,FALSE)+VLOOKUP(A141,'Change in Proportion Layers'!$A$8:$V$321,18,FALSE)</f>
        <v>-4525688</v>
      </c>
      <c r="T141" s="246">
        <f>+N141+VLOOKUP(A141,'Change in Proportion Layers'!$A$8:$V$321,6,FALSE)+VLOOKUP(A141,'Change in Proportion Layers'!$A$8:$V$321,13,FALSE)</f>
        <v>-469034</v>
      </c>
      <c r="U141" s="246">
        <f>+O141+VLOOKUP(A141,'Change in Proportion Layers'!$A$8:$V$321,7,FALSE)-2</f>
        <v>-3927491</v>
      </c>
      <c r="W141" s="246">
        <f>('OPEB Amounts_Report'!G141-'OPEB Amounts_Report'!M141)</f>
        <v>-30846142</v>
      </c>
      <c r="X141" s="282">
        <f>SUM(Q141:U141)-('OPEB Amounts_Report'!G141-'OPEB Amounts_Report'!M141)</f>
        <v>0</v>
      </c>
    </row>
    <row r="142" spans="1:24" s="8" customFormat="1">
      <c r="A142" s="235">
        <v>7338</v>
      </c>
      <c r="B142" s="236" t="s">
        <v>131</v>
      </c>
      <c r="C142" s="245">
        <f t="shared" si="15"/>
        <v>-60512</v>
      </c>
      <c r="D142" s="245">
        <f t="shared" si="16"/>
        <v>-19294</v>
      </c>
      <c r="E142" s="245">
        <f t="shared" si="17"/>
        <v>-17861</v>
      </c>
      <c r="F142" s="245">
        <f t="shared" si="18"/>
        <v>-97</v>
      </c>
      <c r="G142" s="245">
        <f t="shared" si="19"/>
        <v>-30625</v>
      </c>
      <c r="I142" s="51"/>
      <c r="K142" s="156">
        <f>ROUND(VLOOKUP($A142,'Contribution Allocation_Report'!$A$9:$D$310,4,FALSE)*$K$323,0)</f>
        <v>-135941</v>
      </c>
      <c r="L142" s="156">
        <f>ROUND(VLOOKUP($A142,'Contribution Allocation_Report'!$A$9:$D$310,4,FALSE)*$L$323,0)</f>
        <v>-85548</v>
      </c>
      <c r="M142" s="156">
        <f>ROUND(VLOOKUP($A142,'Contribution Allocation_Report'!$A$9:$D$310,4,FALSE)*$M$323,0)</f>
        <v>-48607</v>
      </c>
      <c r="N142" s="156">
        <f>ROUND(VLOOKUP($A142,'Contribution Allocation_Report'!$A$9:$D$310,4,FALSE)*$N$323,0)</f>
        <v>-9665</v>
      </c>
      <c r="O142" s="246">
        <f>ROUND(VLOOKUP($A142,'Contribution Allocation_Report'!$A$9:$D$310,4,FALSE)*$O$323,0)</f>
        <v>-39752</v>
      </c>
      <c r="Q142" s="246">
        <f>+K142+VLOOKUP(A142,'Change in Proportion Layers'!$A$8:$I$321,3,FALSE)+VLOOKUP(A142,'Change in Proportion Layers'!$A$8:$V$321,10,FALSE)+VLOOKUP(A142,'Change in Proportion Layers'!$A$8:$V$321,16,FALSE)+VLOOKUP(A142,'Change in Proportion Layers'!$A$8:$V$321,21,FALSE)</f>
        <v>-60512</v>
      </c>
      <c r="R142" s="246">
        <f>+L142+VLOOKUP(A142,'Change in Proportion Layers'!$A$8:$V$321,4,FALSE)+VLOOKUP(A142,'Change in Proportion Layers'!$A$8:$V$321,11,FALSE)+VLOOKUP(A142,'Change in Proportion Layers'!$A$8:$V$321,17,FALSE)+VLOOKUP(A142,'Change in Proportion Layers'!$A$8:$V$321,22,FALSE)</f>
        <v>-19294</v>
      </c>
      <c r="S142" s="246">
        <f>+M142+VLOOKUP(A142,'Change in Proportion Layers'!$A$8:$V$321,5,FALSE)+VLOOKUP(A142,'Change in Proportion Layers'!$A$8:$V$321,12,FALSE)+VLOOKUP(A142,'Change in Proportion Layers'!$A$8:$V$321,18,FALSE)</f>
        <v>-17861</v>
      </c>
      <c r="T142" s="246">
        <f>+N142+VLOOKUP(A142,'Change in Proportion Layers'!$A$8:$V$321,6,FALSE)+VLOOKUP(A142,'Change in Proportion Layers'!$A$8:$V$321,13,FALSE)</f>
        <v>-97</v>
      </c>
      <c r="U142" s="246">
        <f>+O142+VLOOKUP(A142,'Change in Proportion Layers'!$A$8:$V$321,7,FALSE)+1</f>
        <v>-30625</v>
      </c>
      <c r="W142" s="246">
        <f>('OPEB Amounts_Report'!G142-'OPEB Amounts_Report'!M142)</f>
        <v>-128389</v>
      </c>
      <c r="X142" s="282">
        <f>SUM(Q142:U142)-('OPEB Amounts_Report'!G142-'OPEB Amounts_Report'!M142)</f>
        <v>0</v>
      </c>
    </row>
    <row r="143" spans="1:24" s="8" customFormat="1">
      <c r="A143" s="237">
        <v>12037</v>
      </c>
      <c r="B143" s="238" t="s">
        <v>132</v>
      </c>
      <c r="C143" s="48">
        <f t="shared" si="15"/>
        <v>-781137</v>
      </c>
      <c r="D143" s="48">
        <f t="shared" si="16"/>
        <v>-535129</v>
      </c>
      <c r="E143" s="48">
        <f t="shared" si="17"/>
        <v>-470469</v>
      </c>
      <c r="F143" s="48">
        <f t="shared" si="18"/>
        <v>-62302</v>
      </c>
      <c r="G143" s="48">
        <f t="shared" si="19"/>
        <v>-290660</v>
      </c>
      <c r="I143" s="51"/>
      <c r="K143" s="156">
        <f>ROUND(VLOOKUP($A143,'Contribution Allocation_Report'!$A$9:$D$310,4,FALSE)*$K$323,0)</f>
        <v>-946756</v>
      </c>
      <c r="L143" s="156">
        <f>ROUND(VLOOKUP($A143,'Contribution Allocation_Report'!$A$9:$D$310,4,FALSE)*$L$323,0)</f>
        <v>-595799</v>
      </c>
      <c r="M143" s="156">
        <f>ROUND(VLOOKUP($A143,'Contribution Allocation_Report'!$A$9:$D$310,4,FALSE)*$M$323,0)</f>
        <v>-338522</v>
      </c>
      <c r="N143" s="156">
        <f>ROUND(VLOOKUP($A143,'Contribution Allocation_Report'!$A$9:$D$310,4,FALSE)*$N$323,0)</f>
        <v>-67314</v>
      </c>
      <c r="O143" s="246">
        <f>ROUND(VLOOKUP($A143,'Contribution Allocation_Report'!$A$9:$D$310,4,FALSE)*$O$323,0)</f>
        <v>-276849</v>
      </c>
      <c r="Q143" s="246">
        <f>+K143+VLOOKUP(A143,'Change in Proportion Layers'!$A$8:$I$321,3,FALSE)+VLOOKUP(A143,'Change in Proportion Layers'!$A$8:$V$321,10,FALSE)+VLOOKUP(A143,'Change in Proportion Layers'!$A$8:$V$321,16,FALSE)+VLOOKUP(A143,'Change in Proportion Layers'!$A$8:$V$321,21,FALSE)</f>
        <v>-781137</v>
      </c>
      <c r="R143" s="246">
        <f>+L143+VLOOKUP(A143,'Change in Proportion Layers'!$A$8:$V$321,4,FALSE)+VLOOKUP(A143,'Change in Proportion Layers'!$A$8:$V$321,11,FALSE)+VLOOKUP(A143,'Change in Proportion Layers'!$A$8:$V$321,17,FALSE)+VLOOKUP(A143,'Change in Proportion Layers'!$A$8:$V$321,22,FALSE)</f>
        <v>-535129</v>
      </c>
      <c r="S143" s="246">
        <f>+M143+VLOOKUP(A143,'Change in Proportion Layers'!$A$8:$V$321,5,FALSE)+VLOOKUP(A143,'Change in Proportion Layers'!$A$8:$V$321,12,FALSE)+VLOOKUP(A143,'Change in Proportion Layers'!$A$8:$V$321,18,FALSE)</f>
        <v>-470469</v>
      </c>
      <c r="T143" s="246">
        <f>+N143+VLOOKUP(A143,'Change in Proportion Layers'!$A$8:$V$321,6,FALSE)+VLOOKUP(A143,'Change in Proportion Layers'!$A$8:$V$321,13,FALSE)</f>
        <v>-62302</v>
      </c>
      <c r="U143" s="246">
        <f>+O143+VLOOKUP(A143,'Change in Proportion Layers'!$A$8:$V$321,7,FALSE)</f>
        <v>-290660</v>
      </c>
      <c r="W143" s="246">
        <f>('OPEB Amounts_Report'!G143-'OPEB Amounts_Report'!M143)</f>
        <v>-2139697</v>
      </c>
      <c r="X143" s="282">
        <f>SUM(Q143:U143)-('OPEB Amounts_Report'!G143-'OPEB Amounts_Report'!M143)</f>
        <v>0</v>
      </c>
    </row>
    <row r="144" spans="1:24" s="8" customFormat="1">
      <c r="A144" s="235">
        <v>3150</v>
      </c>
      <c r="B144" s="236" t="s">
        <v>133</v>
      </c>
      <c r="C144" s="245">
        <f t="shared" si="15"/>
        <v>-1509865</v>
      </c>
      <c r="D144" s="245">
        <f t="shared" si="16"/>
        <v>-872262</v>
      </c>
      <c r="E144" s="245">
        <f t="shared" si="17"/>
        <v>-593783</v>
      </c>
      <c r="F144" s="245">
        <f t="shared" si="18"/>
        <v>-388853</v>
      </c>
      <c r="G144" s="245">
        <f t="shared" si="19"/>
        <v>-575375</v>
      </c>
      <c r="I144" s="51"/>
      <c r="K144" s="156">
        <f>ROUND(VLOOKUP($A144,'Contribution Allocation_Report'!$A$9:$D$310,4,FALSE)*$K$323,0)</f>
        <v>-1749415</v>
      </c>
      <c r="L144" s="156">
        <f>ROUND(VLOOKUP($A144,'Contribution Allocation_Report'!$A$9:$D$310,4,FALSE)*$L$323,0)</f>
        <v>-1100917</v>
      </c>
      <c r="M144" s="156">
        <f>ROUND(VLOOKUP($A144,'Contribution Allocation_Report'!$A$9:$D$310,4,FALSE)*$M$323,0)</f>
        <v>-625521</v>
      </c>
      <c r="N144" s="156">
        <f>ROUND(VLOOKUP($A144,'Contribution Allocation_Report'!$A$9:$D$310,4,FALSE)*$N$323,0)</f>
        <v>-124383</v>
      </c>
      <c r="O144" s="246">
        <f>ROUND(VLOOKUP($A144,'Contribution Allocation_Report'!$A$9:$D$310,4,FALSE)*$O$323,0)</f>
        <v>-511561</v>
      </c>
      <c r="Q144" s="246">
        <f>+K144+VLOOKUP(A144,'Change in Proportion Layers'!$A$8:$I$321,3,FALSE)+VLOOKUP(A144,'Change in Proportion Layers'!$A$8:$V$321,10,FALSE)+VLOOKUP(A144,'Change in Proportion Layers'!$A$8:$V$321,16,FALSE)+VLOOKUP(A144,'Change in Proportion Layers'!$A$8:$V$321,21,FALSE)</f>
        <v>-1509865</v>
      </c>
      <c r="R144" s="246">
        <f>+L144+VLOOKUP(A144,'Change in Proportion Layers'!$A$8:$V$321,4,FALSE)+VLOOKUP(A144,'Change in Proportion Layers'!$A$8:$V$321,11,FALSE)+VLOOKUP(A144,'Change in Proportion Layers'!$A$8:$V$321,17,FALSE)+VLOOKUP(A144,'Change in Proportion Layers'!$A$8:$V$321,22,FALSE)</f>
        <v>-872262</v>
      </c>
      <c r="S144" s="246">
        <f>+M144+VLOOKUP(A144,'Change in Proportion Layers'!$A$8:$V$321,5,FALSE)+VLOOKUP(A144,'Change in Proportion Layers'!$A$8:$V$321,12,FALSE)+VLOOKUP(A144,'Change in Proportion Layers'!$A$8:$V$321,18,FALSE)</f>
        <v>-593783</v>
      </c>
      <c r="T144" s="246">
        <f>+N144+VLOOKUP(A144,'Change in Proportion Layers'!$A$8:$V$321,6,FALSE)+VLOOKUP(A144,'Change in Proportion Layers'!$A$8:$V$321,13,FALSE)</f>
        <v>-388853</v>
      </c>
      <c r="U144" s="246">
        <f>+O144+VLOOKUP(A144,'Change in Proportion Layers'!$A$8:$V$321,7,FALSE)+1</f>
        <v>-575375</v>
      </c>
      <c r="W144" s="246">
        <f>('OPEB Amounts_Report'!G144-'OPEB Amounts_Report'!M144)</f>
        <v>-3940138</v>
      </c>
      <c r="X144" s="282">
        <f>SUM(Q144:U144)-('OPEB Amounts_Report'!G144-'OPEB Amounts_Report'!M144)</f>
        <v>0</v>
      </c>
    </row>
    <row r="145" spans="1:24" s="8" customFormat="1">
      <c r="A145" s="237">
        <v>3160</v>
      </c>
      <c r="B145" s="238" t="s">
        <v>134</v>
      </c>
      <c r="C145" s="48">
        <f t="shared" si="15"/>
        <v>-490888</v>
      </c>
      <c r="D145" s="48">
        <f t="shared" si="16"/>
        <v>-326870</v>
      </c>
      <c r="E145" s="48">
        <f t="shared" si="17"/>
        <v>-219343</v>
      </c>
      <c r="F145" s="48">
        <f t="shared" si="18"/>
        <v>-111917</v>
      </c>
      <c r="G145" s="48">
        <f t="shared" si="19"/>
        <v>-135761</v>
      </c>
      <c r="I145" s="51"/>
      <c r="K145" s="156">
        <f>ROUND(VLOOKUP($A145,'Contribution Allocation_Report'!$A$9:$D$310,4,FALSE)*$K$323,0)</f>
        <v>-443635</v>
      </c>
      <c r="L145" s="156">
        <f>ROUND(VLOOKUP($A145,'Contribution Allocation_Report'!$A$9:$D$310,4,FALSE)*$L$323,0)</f>
        <v>-279182</v>
      </c>
      <c r="M145" s="156">
        <f>ROUND(VLOOKUP($A145,'Contribution Allocation_Report'!$A$9:$D$310,4,FALSE)*$M$323,0)</f>
        <v>-158626</v>
      </c>
      <c r="N145" s="156">
        <f>ROUND(VLOOKUP($A145,'Contribution Allocation_Report'!$A$9:$D$310,4,FALSE)*$N$323,0)</f>
        <v>-31542</v>
      </c>
      <c r="O145" s="246">
        <f>ROUND(VLOOKUP($A145,'Contribution Allocation_Report'!$A$9:$D$310,4,FALSE)*$O$323,0)</f>
        <v>-129727</v>
      </c>
      <c r="Q145" s="246">
        <f>+K145+VLOOKUP(A145,'Change in Proportion Layers'!$A$8:$I$321,3,FALSE)+VLOOKUP(A145,'Change in Proportion Layers'!$A$8:$V$321,10,FALSE)+VLOOKUP(A145,'Change in Proportion Layers'!$A$8:$V$321,16,FALSE)+VLOOKUP(A145,'Change in Proportion Layers'!$A$8:$V$321,21,FALSE)</f>
        <v>-490888</v>
      </c>
      <c r="R145" s="246">
        <f>+L145+VLOOKUP(A145,'Change in Proportion Layers'!$A$8:$V$321,4,FALSE)+VLOOKUP(A145,'Change in Proportion Layers'!$A$8:$V$321,11,FALSE)+VLOOKUP(A145,'Change in Proportion Layers'!$A$8:$V$321,17,FALSE)+VLOOKUP(A145,'Change in Proportion Layers'!$A$8:$V$321,22,FALSE)</f>
        <v>-326870</v>
      </c>
      <c r="S145" s="246">
        <f>+M145+VLOOKUP(A145,'Change in Proportion Layers'!$A$8:$V$321,5,FALSE)+VLOOKUP(A145,'Change in Proportion Layers'!$A$8:$V$321,12,FALSE)+VLOOKUP(A145,'Change in Proportion Layers'!$A$8:$V$321,18,FALSE)</f>
        <v>-219343</v>
      </c>
      <c r="T145" s="246">
        <f>+N145+VLOOKUP(A145,'Change in Proportion Layers'!$A$8:$V$321,6,FALSE)+VLOOKUP(A145,'Change in Proportion Layers'!$A$8:$V$321,13,FALSE)</f>
        <v>-111917</v>
      </c>
      <c r="U145" s="246">
        <f>+O145+VLOOKUP(A145,'Change in Proportion Layers'!$A$8:$V$321,7,FALSE)-1</f>
        <v>-135761</v>
      </c>
      <c r="W145" s="246">
        <f>('OPEB Amounts_Report'!G145-'OPEB Amounts_Report'!M145)</f>
        <v>-1284779</v>
      </c>
      <c r="X145" s="282">
        <f>SUM(Q145:U145)-('OPEB Amounts_Report'!G145-'OPEB Amounts_Report'!M145)</f>
        <v>0</v>
      </c>
    </row>
    <row r="146" spans="1:24" s="8" customFormat="1">
      <c r="A146" s="235">
        <v>10120</v>
      </c>
      <c r="B146" s="236" t="s">
        <v>136</v>
      </c>
      <c r="C146" s="245">
        <f t="shared" si="15"/>
        <v>-233135</v>
      </c>
      <c r="D146" s="245">
        <f t="shared" si="16"/>
        <v>-155752</v>
      </c>
      <c r="E146" s="245">
        <f t="shared" si="17"/>
        <v>-99943</v>
      </c>
      <c r="F146" s="245">
        <f t="shared" si="18"/>
        <v>-25720</v>
      </c>
      <c r="G146" s="245">
        <f t="shared" si="19"/>
        <v>-63502</v>
      </c>
      <c r="I146" s="51"/>
      <c r="K146" s="156">
        <f>ROUND(VLOOKUP($A146,'Contribution Allocation_Report'!$A$9:$D$310,4,FALSE)*$K$323,0)</f>
        <v>-219333</v>
      </c>
      <c r="L146" s="156">
        <f>ROUND(VLOOKUP($A146,'Contribution Allocation_Report'!$A$9:$D$310,4,FALSE)*$L$323,0)</f>
        <v>-138028</v>
      </c>
      <c r="M146" s="156">
        <f>ROUND(VLOOKUP($A146,'Contribution Allocation_Report'!$A$9:$D$310,4,FALSE)*$M$323,0)</f>
        <v>-78425</v>
      </c>
      <c r="N146" s="156">
        <f>ROUND(VLOOKUP($A146,'Contribution Allocation_Report'!$A$9:$D$310,4,FALSE)*$N$323,0)</f>
        <v>-15595</v>
      </c>
      <c r="O146" s="246">
        <f>ROUND(VLOOKUP($A146,'Contribution Allocation_Report'!$A$9:$D$310,4,FALSE)*$O$323,0)</f>
        <v>-64137</v>
      </c>
      <c r="Q146" s="246">
        <f>+K146+VLOOKUP(A146,'Change in Proportion Layers'!$A$8:$I$321,3,FALSE)+VLOOKUP(A146,'Change in Proportion Layers'!$A$8:$V$321,10,FALSE)+VLOOKUP(A146,'Change in Proportion Layers'!$A$8:$V$321,16,FALSE)+VLOOKUP(A146,'Change in Proportion Layers'!$A$8:$V$321,21,FALSE)</f>
        <v>-233135</v>
      </c>
      <c r="R146" s="246">
        <f>+L146+VLOOKUP(A146,'Change in Proportion Layers'!$A$8:$V$321,4,FALSE)+VLOOKUP(A146,'Change in Proportion Layers'!$A$8:$V$321,11,FALSE)+VLOOKUP(A146,'Change in Proportion Layers'!$A$8:$V$321,17,FALSE)+VLOOKUP(A146,'Change in Proportion Layers'!$A$8:$V$321,22,FALSE)</f>
        <v>-155752</v>
      </c>
      <c r="S146" s="246">
        <f>+M146+VLOOKUP(A146,'Change in Proportion Layers'!$A$8:$V$321,5,FALSE)+VLOOKUP(A146,'Change in Proportion Layers'!$A$8:$V$321,12,FALSE)+VLOOKUP(A146,'Change in Proportion Layers'!$A$8:$V$321,18,FALSE)</f>
        <v>-99943</v>
      </c>
      <c r="T146" s="246">
        <f>+N146+VLOOKUP(A146,'Change in Proportion Layers'!$A$8:$V$321,6,FALSE)+VLOOKUP(A146,'Change in Proportion Layers'!$A$8:$V$321,13,FALSE)</f>
        <v>-25720</v>
      </c>
      <c r="U146" s="246">
        <f>+O146+VLOOKUP(A146,'Change in Proportion Layers'!$A$8:$V$321,7,FALSE)</f>
        <v>-63502</v>
      </c>
      <c r="W146" s="246">
        <f>('OPEB Amounts_Report'!G146-'OPEB Amounts_Report'!M146)</f>
        <v>-578052</v>
      </c>
      <c r="X146" s="282">
        <f>SUM(Q146:U146)-('OPEB Amounts_Report'!G146-'OPEB Amounts_Report'!M146)</f>
        <v>0</v>
      </c>
    </row>
    <row r="147" spans="1:24" s="8" customFormat="1">
      <c r="A147" s="237">
        <v>23070</v>
      </c>
      <c r="B147" s="238" t="s">
        <v>137</v>
      </c>
      <c r="C147" s="48">
        <f t="shared" si="15"/>
        <v>-305559</v>
      </c>
      <c r="D147" s="48">
        <f t="shared" si="16"/>
        <v>-172174</v>
      </c>
      <c r="E147" s="48">
        <f t="shared" si="17"/>
        <v>-92109</v>
      </c>
      <c r="F147" s="48">
        <f t="shared" si="18"/>
        <v>-8945</v>
      </c>
      <c r="G147" s="48">
        <f t="shared" si="19"/>
        <v>-110659</v>
      </c>
      <c r="I147" s="51"/>
      <c r="K147" s="156">
        <f>ROUND(VLOOKUP($A147,'Contribution Allocation_Report'!$A$9:$D$310,4,FALSE)*$K$323,0)</f>
        <v>-367836</v>
      </c>
      <c r="L147" s="156">
        <f>ROUND(VLOOKUP($A147,'Contribution Allocation_Report'!$A$9:$D$310,4,FALSE)*$L$323,0)</f>
        <v>-231482</v>
      </c>
      <c r="M147" s="156">
        <f>ROUND(VLOOKUP($A147,'Contribution Allocation_Report'!$A$9:$D$310,4,FALSE)*$M$323,0)</f>
        <v>-131524</v>
      </c>
      <c r="N147" s="156">
        <f>ROUND(VLOOKUP($A147,'Contribution Allocation_Report'!$A$9:$D$310,4,FALSE)*$N$323,0)</f>
        <v>-26153</v>
      </c>
      <c r="O147" s="246">
        <f>ROUND(VLOOKUP($A147,'Contribution Allocation_Report'!$A$9:$D$310,4,FALSE)*$O$323,0)</f>
        <v>-107562</v>
      </c>
      <c r="Q147" s="246">
        <f>+K147+VLOOKUP(A147,'Change in Proportion Layers'!$A$8:$I$321,3,FALSE)+VLOOKUP(A147,'Change in Proportion Layers'!$A$8:$V$321,10,FALSE)+VLOOKUP(A147,'Change in Proportion Layers'!$A$8:$V$321,16,FALSE)+VLOOKUP(A147,'Change in Proportion Layers'!$A$8:$V$321,21,FALSE)</f>
        <v>-305559</v>
      </c>
      <c r="R147" s="246">
        <f>+L147+VLOOKUP(A147,'Change in Proportion Layers'!$A$8:$V$321,4,FALSE)+VLOOKUP(A147,'Change in Proportion Layers'!$A$8:$V$321,11,FALSE)+VLOOKUP(A147,'Change in Proportion Layers'!$A$8:$V$321,17,FALSE)+VLOOKUP(A147,'Change in Proportion Layers'!$A$8:$V$321,22,FALSE)</f>
        <v>-172174</v>
      </c>
      <c r="S147" s="246">
        <f>+M147+VLOOKUP(A147,'Change in Proportion Layers'!$A$8:$V$321,5,FALSE)+VLOOKUP(A147,'Change in Proportion Layers'!$A$8:$V$321,12,FALSE)+VLOOKUP(A147,'Change in Proportion Layers'!$A$8:$V$321,18,FALSE)</f>
        <v>-92109</v>
      </c>
      <c r="T147" s="246">
        <f>+N147+VLOOKUP(A147,'Change in Proportion Layers'!$A$8:$V$321,6,FALSE)+VLOOKUP(A147,'Change in Proportion Layers'!$A$8:$V$321,13,FALSE)</f>
        <v>-8945</v>
      </c>
      <c r="U147" s="246">
        <f>+O147+VLOOKUP(A147,'Change in Proportion Layers'!$A$8:$V$321,7,FALSE)</f>
        <v>-110659</v>
      </c>
      <c r="W147" s="246">
        <f>('OPEB Amounts_Report'!G147-'OPEB Amounts_Report'!M147)</f>
        <v>-689446</v>
      </c>
      <c r="X147" s="282">
        <f>SUM(Q147:U147)-('OPEB Amounts_Report'!G147-'OPEB Amounts_Report'!M147)</f>
        <v>0</v>
      </c>
    </row>
    <row r="148" spans="1:24" s="8" customFormat="1">
      <c r="A148" s="235">
        <v>3170</v>
      </c>
      <c r="B148" s="236" t="s">
        <v>138</v>
      </c>
      <c r="C148" s="245">
        <f t="shared" si="15"/>
        <v>-4938111</v>
      </c>
      <c r="D148" s="245">
        <f t="shared" si="16"/>
        <v>-3383239</v>
      </c>
      <c r="E148" s="245">
        <f t="shared" si="17"/>
        <v>-2178052</v>
      </c>
      <c r="F148" s="245">
        <f t="shared" si="18"/>
        <v>-501052</v>
      </c>
      <c r="G148" s="245">
        <f t="shared" si="19"/>
        <v>-1002983</v>
      </c>
      <c r="I148" s="51"/>
      <c r="K148" s="156">
        <f>ROUND(VLOOKUP($A148,'Contribution Allocation_Report'!$A$9:$D$310,4,FALSE)*$K$323,0)</f>
        <v>-4427726</v>
      </c>
      <c r="L148" s="156">
        <f>ROUND(VLOOKUP($A148,'Contribution Allocation_Report'!$A$9:$D$310,4,FALSE)*$L$323,0)</f>
        <v>-2786395</v>
      </c>
      <c r="M148" s="156">
        <f>ROUND(VLOOKUP($A148,'Contribution Allocation_Report'!$A$9:$D$310,4,FALSE)*$M$323,0)</f>
        <v>-1583178</v>
      </c>
      <c r="N148" s="156">
        <f>ROUND(VLOOKUP($A148,'Contribution Allocation_Report'!$A$9:$D$310,4,FALSE)*$N$323,0)</f>
        <v>-314812</v>
      </c>
      <c r="O148" s="246">
        <f>ROUND(VLOOKUP($A148,'Contribution Allocation_Report'!$A$9:$D$310,4,FALSE)*$O$323,0)</f>
        <v>-1294748</v>
      </c>
      <c r="Q148" s="246">
        <f>+K148+VLOOKUP(A148,'Change in Proportion Layers'!$A$8:$I$321,3,FALSE)+VLOOKUP(A148,'Change in Proportion Layers'!$A$8:$V$321,10,FALSE)+VLOOKUP(A148,'Change in Proportion Layers'!$A$8:$V$321,16,FALSE)+VLOOKUP(A148,'Change in Proportion Layers'!$A$8:$V$321,21,FALSE)</f>
        <v>-4938111</v>
      </c>
      <c r="R148" s="246">
        <f>+L148+VLOOKUP(A148,'Change in Proportion Layers'!$A$8:$V$321,4,FALSE)+VLOOKUP(A148,'Change in Proportion Layers'!$A$8:$V$321,11,FALSE)+VLOOKUP(A148,'Change in Proportion Layers'!$A$8:$V$321,17,FALSE)+VLOOKUP(A148,'Change in Proportion Layers'!$A$8:$V$321,22,FALSE)</f>
        <v>-3383239</v>
      </c>
      <c r="S148" s="246">
        <f>+M148+VLOOKUP(A148,'Change in Proportion Layers'!$A$8:$V$321,5,FALSE)+VLOOKUP(A148,'Change in Proportion Layers'!$A$8:$V$321,12,FALSE)+VLOOKUP(A148,'Change in Proportion Layers'!$A$8:$V$321,18,FALSE)</f>
        <v>-2178052</v>
      </c>
      <c r="T148" s="246">
        <f>+N148+VLOOKUP(A148,'Change in Proportion Layers'!$A$8:$V$321,6,FALSE)+VLOOKUP(A148,'Change in Proportion Layers'!$A$8:$V$321,13,FALSE)</f>
        <v>-501052</v>
      </c>
      <c r="U148" s="246">
        <f>+O148+VLOOKUP(A148,'Change in Proportion Layers'!$A$8:$V$321,7,FALSE)+1</f>
        <v>-1002983</v>
      </c>
      <c r="W148" s="246">
        <f>('OPEB Amounts_Report'!G148-'OPEB Amounts_Report'!M148)</f>
        <v>-12003437</v>
      </c>
      <c r="X148" s="282">
        <f>SUM(Q148:U148)-('OPEB Amounts_Report'!G148-'OPEB Amounts_Report'!M148)</f>
        <v>0</v>
      </c>
    </row>
    <row r="149" spans="1:24" s="8" customFormat="1">
      <c r="A149" s="237">
        <v>32093</v>
      </c>
      <c r="B149" s="238" t="s">
        <v>139</v>
      </c>
      <c r="C149" s="48">
        <f t="shared" si="15"/>
        <v>-2396846</v>
      </c>
      <c r="D149" s="48">
        <f t="shared" si="16"/>
        <v>-1364492</v>
      </c>
      <c r="E149" s="48">
        <f t="shared" si="17"/>
        <v>-737860</v>
      </c>
      <c r="F149" s="48">
        <f t="shared" si="18"/>
        <v>-82228</v>
      </c>
      <c r="G149" s="48">
        <f t="shared" si="19"/>
        <v>-739981</v>
      </c>
      <c r="I149" s="51"/>
      <c r="K149" s="156">
        <f>ROUND(VLOOKUP($A149,'Contribution Allocation_Report'!$A$9:$D$310,4,FALSE)*$K$323,0)</f>
        <v>-2844862</v>
      </c>
      <c r="L149" s="156">
        <f>ROUND(VLOOKUP($A149,'Contribution Allocation_Report'!$A$9:$D$310,4,FALSE)*$L$323,0)</f>
        <v>-1790289</v>
      </c>
      <c r="M149" s="156">
        <f>ROUND(VLOOKUP($A149,'Contribution Allocation_Report'!$A$9:$D$310,4,FALSE)*$M$323,0)</f>
        <v>-1017209</v>
      </c>
      <c r="N149" s="156">
        <f>ROUND(VLOOKUP($A149,'Contribution Allocation_Report'!$A$9:$D$310,4,FALSE)*$N$323,0)</f>
        <v>-202270</v>
      </c>
      <c r="O149" s="246">
        <f>ROUND(VLOOKUP($A149,'Contribution Allocation_Report'!$A$9:$D$310,4,FALSE)*$O$323,0)</f>
        <v>-831889</v>
      </c>
      <c r="Q149" s="246">
        <f>+K149+VLOOKUP(A149,'Change in Proportion Layers'!$A$8:$I$321,3,FALSE)+VLOOKUP(A149,'Change in Proportion Layers'!$A$8:$V$321,10,FALSE)+VLOOKUP(A149,'Change in Proportion Layers'!$A$8:$V$321,16,FALSE)+VLOOKUP(A149,'Change in Proportion Layers'!$A$8:$V$321,21,FALSE)</f>
        <v>-2396846</v>
      </c>
      <c r="R149" s="246">
        <f>+L149+VLOOKUP(A149,'Change in Proportion Layers'!$A$8:$V$321,4,FALSE)+VLOOKUP(A149,'Change in Proportion Layers'!$A$8:$V$321,11,FALSE)+VLOOKUP(A149,'Change in Proportion Layers'!$A$8:$V$321,17,FALSE)+VLOOKUP(A149,'Change in Proportion Layers'!$A$8:$V$321,22,FALSE)</f>
        <v>-1364492</v>
      </c>
      <c r="S149" s="246">
        <f>+M149+VLOOKUP(A149,'Change in Proportion Layers'!$A$8:$V$321,5,FALSE)+VLOOKUP(A149,'Change in Proportion Layers'!$A$8:$V$321,12,FALSE)+VLOOKUP(A149,'Change in Proportion Layers'!$A$8:$V$321,18,FALSE)</f>
        <v>-737860</v>
      </c>
      <c r="T149" s="246">
        <f>+N149+VLOOKUP(A149,'Change in Proportion Layers'!$A$8:$V$321,6,FALSE)+VLOOKUP(A149,'Change in Proportion Layers'!$A$8:$V$321,13,FALSE)</f>
        <v>-82228</v>
      </c>
      <c r="U149" s="246">
        <f>+O149+VLOOKUP(A149,'Change in Proportion Layers'!$A$8:$V$321,7,FALSE)-1</f>
        <v>-739981</v>
      </c>
      <c r="W149" s="246">
        <f>('OPEB Amounts_Report'!G149-'OPEB Amounts_Report'!M149)</f>
        <v>-5321407</v>
      </c>
      <c r="X149" s="282">
        <f>SUM(Q149:U149)-('OPEB Amounts_Report'!G149-'OPEB Amounts_Report'!M149)</f>
        <v>0</v>
      </c>
    </row>
    <row r="150" spans="1:24" s="8" customFormat="1">
      <c r="A150" s="235">
        <v>14045</v>
      </c>
      <c r="B150" s="236" t="s">
        <v>140</v>
      </c>
      <c r="C150" s="49">
        <f t="shared" si="15"/>
        <v>-4156450</v>
      </c>
      <c r="D150" s="49">
        <f t="shared" si="16"/>
        <v>-2388819</v>
      </c>
      <c r="E150" s="49">
        <f t="shared" si="17"/>
        <v>-1307894</v>
      </c>
      <c r="F150" s="49">
        <f t="shared" si="18"/>
        <v>-112641</v>
      </c>
      <c r="G150" s="49">
        <f t="shared" si="19"/>
        <v>-1426126</v>
      </c>
      <c r="I150" s="51"/>
      <c r="K150" s="156">
        <f>ROUND(VLOOKUP($A150,'Contribution Allocation_Report'!$A$9:$D$310,4,FALSE)*$K$323,0)</f>
        <v>-4912565</v>
      </c>
      <c r="L150" s="156">
        <f>ROUND(VLOOKUP($A150,'Contribution Allocation_Report'!$A$9:$D$310,4,FALSE)*$L$323,0)</f>
        <v>-3091507</v>
      </c>
      <c r="M150" s="156">
        <f>ROUND(VLOOKUP($A150,'Contribution Allocation_Report'!$A$9:$D$310,4,FALSE)*$M$323,0)</f>
        <v>-1756538</v>
      </c>
      <c r="N150" s="156">
        <f>ROUND(VLOOKUP($A150,'Contribution Allocation_Report'!$A$9:$D$310,4,FALSE)*$N$323,0)</f>
        <v>-349284</v>
      </c>
      <c r="O150" s="246">
        <f>ROUND(VLOOKUP($A150,'Contribution Allocation_Report'!$A$9:$D$310,4,FALSE)*$O$323,0)</f>
        <v>-1436523</v>
      </c>
      <c r="Q150" s="246">
        <f>+K150+VLOOKUP(A150,'Change in Proportion Layers'!$A$8:$I$321,3,FALSE)+VLOOKUP(A150,'Change in Proportion Layers'!$A$8:$V$321,10,FALSE)+VLOOKUP(A150,'Change in Proportion Layers'!$A$8:$V$321,16,FALSE)+VLOOKUP(A150,'Change in Proportion Layers'!$A$8:$V$321,21,FALSE)</f>
        <v>-4156450</v>
      </c>
      <c r="R150" s="246">
        <f>+L150+VLOOKUP(A150,'Change in Proportion Layers'!$A$8:$V$321,4,FALSE)+VLOOKUP(A150,'Change in Proportion Layers'!$A$8:$V$321,11,FALSE)+VLOOKUP(A150,'Change in Proportion Layers'!$A$8:$V$321,17,FALSE)+VLOOKUP(A150,'Change in Proportion Layers'!$A$8:$V$321,22,FALSE)</f>
        <v>-2388819</v>
      </c>
      <c r="S150" s="246">
        <f>+M150+VLOOKUP(A150,'Change in Proportion Layers'!$A$8:$V$321,5,FALSE)+VLOOKUP(A150,'Change in Proportion Layers'!$A$8:$V$321,12,FALSE)+VLOOKUP(A150,'Change in Proportion Layers'!$A$8:$V$321,18,FALSE)</f>
        <v>-1307894</v>
      </c>
      <c r="T150" s="246">
        <f>+N150+VLOOKUP(A150,'Change in Proportion Layers'!$A$8:$V$321,6,FALSE)+VLOOKUP(A150,'Change in Proportion Layers'!$A$8:$V$321,13,FALSE)</f>
        <v>-112641</v>
      </c>
      <c r="U150" s="246">
        <f>+O150+VLOOKUP(A150,'Change in Proportion Layers'!$A$8:$V$321,7,FALSE)+1</f>
        <v>-1426126</v>
      </c>
      <c r="W150" s="246">
        <f>('OPEB Amounts_Report'!G150-'OPEB Amounts_Report'!M150)</f>
        <v>-9391930</v>
      </c>
      <c r="X150" s="282">
        <f>SUM(Q150:U150)-('OPEB Amounts_Report'!G150-'OPEB Amounts_Report'!M150)</f>
        <v>0</v>
      </c>
    </row>
    <row r="151" spans="1:24" s="8" customFormat="1">
      <c r="A151" s="237">
        <v>2322</v>
      </c>
      <c r="B151" s="238" t="s">
        <v>141</v>
      </c>
      <c r="C151" s="48">
        <f t="shared" si="15"/>
        <v>-148474</v>
      </c>
      <c r="D151" s="48">
        <f t="shared" si="16"/>
        <v>-103724</v>
      </c>
      <c r="E151" s="48">
        <f t="shared" si="17"/>
        <v>-69813</v>
      </c>
      <c r="F151" s="48">
        <f t="shared" si="18"/>
        <v>-44759</v>
      </c>
      <c r="G151" s="48">
        <f t="shared" si="19"/>
        <v>-39845</v>
      </c>
      <c r="I151" s="51"/>
      <c r="K151" s="156">
        <f>ROUND(VLOOKUP($A151,'Contribution Allocation_Report'!$A$9:$D$310,4,FALSE)*$K$323,0)</f>
        <v>-112643</v>
      </c>
      <c r="L151" s="156">
        <f>ROUND(VLOOKUP($A151,'Contribution Allocation_Report'!$A$9:$D$310,4,FALSE)*$L$323,0)</f>
        <v>-70887</v>
      </c>
      <c r="M151" s="156">
        <f>ROUND(VLOOKUP($A151,'Contribution Allocation_Report'!$A$9:$D$310,4,FALSE)*$M$323,0)</f>
        <v>-40277</v>
      </c>
      <c r="N151" s="156">
        <f>ROUND(VLOOKUP($A151,'Contribution Allocation_Report'!$A$9:$D$310,4,FALSE)*$N$323,0)</f>
        <v>-8009</v>
      </c>
      <c r="O151" s="246">
        <f>ROUND(VLOOKUP($A151,'Contribution Allocation_Report'!$A$9:$D$310,4,FALSE)*$O$323,0)</f>
        <v>-32939</v>
      </c>
      <c r="Q151" s="246">
        <f>+K151+VLOOKUP(A151,'Change in Proportion Layers'!$A$8:$I$321,3,FALSE)+VLOOKUP(A151,'Change in Proportion Layers'!$A$8:$V$321,10,FALSE)+VLOOKUP(A151,'Change in Proportion Layers'!$A$8:$V$321,16,FALSE)+VLOOKUP(A151,'Change in Proportion Layers'!$A$8:$V$321,21,FALSE)</f>
        <v>-148474</v>
      </c>
      <c r="R151" s="246">
        <f>+L151+VLOOKUP(A151,'Change in Proportion Layers'!$A$8:$V$321,4,FALSE)+VLOOKUP(A151,'Change in Proportion Layers'!$A$8:$V$321,11,FALSE)+VLOOKUP(A151,'Change in Proportion Layers'!$A$8:$V$321,17,FALSE)+VLOOKUP(A151,'Change in Proportion Layers'!$A$8:$V$321,22,FALSE)</f>
        <v>-103724</v>
      </c>
      <c r="S151" s="246">
        <f>+M151+VLOOKUP(A151,'Change in Proportion Layers'!$A$8:$V$321,5,FALSE)+VLOOKUP(A151,'Change in Proportion Layers'!$A$8:$V$321,12,FALSE)+VLOOKUP(A151,'Change in Proportion Layers'!$A$8:$V$321,18,FALSE)</f>
        <v>-69813</v>
      </c>
      <c r="T151" s="246">
        <f>+N151+VLOOKUP(A151,'Change in Proportion Layers'!$A$8:$V$321,6,FALSE)+VLOOKUP(A151,'Change in Proportion Layers'!$A$8:$V$321,13,FALSE)</f>
        <v>-44759</v>
      </c>
      <c r="U151" s="246">
        <f>+O151+VLOOKUP(A151,'Change in Proportion Layers'!$A$8:$V$321,7,FALSE)</f>
        <v>-39845</v>
      </c>
      <c r="W151" s="246">
        <f>('OPEB Amounts_Report'!G151-'OPEB Amounts_Report'!M151)</f>
        <v>-406615</v>
      </c>
      <c r="X151" s="282">
        <f>SUM(Q151:U151)-('OPEB Amounts_Report'!G151-'OPEB Amounts_Report'!M151)</f>
        <v>0</v>
      </c>
    </row>
    <row r="152" spans="1:24" s="8" customFormat="1">
      <c r="A152" s="235">
        <v>3006</v>
      </c>
      <c r="B152" s="236" t="s">
        <v>142</v>
      </c>
      <c r="C152" s="245">
        <f t="shared" si="15"/>
        <v>-377319</v>
      </c>
      <c r="D152" s="245">
        <f t="shared" si="16"/>
        <v>-199010</v>
      </c>
      <c r="E152" s="245">
        <f t="shared" si="17"/>
        <v>-13743</v>
      </c>
      <c r="F152" s="245">
        <f t="shared" si="18"/>
        <v>132599</v>
      </c>
      <c r="G152" s="245">
        <f t="shared" si="19"/>
        <v>-41639</v>
      </c>
      <c r="I152" s="51"/>
      <c r="K152" s="156">
        <f>ROUND(VLOOKUP($A152,'Contribution Allocation_Report'!$A$9:$D$310,4,FALSE)*$K$323,0)</f>
        <v>-423057</v>
      </c>
      <c r="L152" s="156">
        <f>ROUND(VLOOKUP($A152,'Contribution Allocation_Report'!$A$9:$D$310,4,FALSE)*$L$323,0)</f>
        <v>-266232</v>
      </c>
      <c r="M152" s="156">
        <f>ROUND(VLOOKUP($A152,'Contribution Allocation_Report'!$A$9:$D$310,4,FALSE)*$M$323,0)</f>
        <v>-151268</v>
      </c>
      <c r="N152" s="156">
        <f>ROUND(VLOOKUP($A152,'Contribution Allocation_Report'!$A$9:$D$310,4,FALSE)*$N$323,0)</f>
        <v>-30079</v>
      </c>
      <c r="O152" s="246">
        <f>ROUND(VLOOKUP($A152,'Contribution Allocation_Report'!$A$9:$D$310,4,FALSE)*$O$323,0)</f>
        <v>-123709</v>
      </c>
      <c r="Q152" s="246">
        <f>+K152+VLOOKUP(A152,'Change in Proportion Layers'!$A$8:$I$321,3,FALSE)+VLOOKUP(A152,'Change in Proportion Layers'!$A$8:$V$321,10,FALSE)+VLOOKUP(A152,'Change in Proportion Layers'!$A$8:$V$321,16,FALSE)+VLOOKUP(A152,'Change in Proportion Layers'!$A$8:$V$321,21,FALSE)</f>
        <v>-377319</v>
      </c>
      <c r="R152" s="246">
        <f>+L152+VLOOKUP(A152,'Change in Proportion Layers'!$A$8:$V$321,4,FALSE)+VLOOKUP(A152,'Change in Proportion Layers'!$A$8:$V$321,11,FALSE)+VLOOKUP(A152,'Change in Proportion Layers'!$A$8:$V$321,17,FALSE)+VLOOKUP(A152,'Change in Proportion Layers'!$A$8:$V$321,22,FALSE)</f>
        <v>-199010</v>
      </c>
      <c r="S152" s="246">
        <f>+M152+VLOOKUP(A152,'Change in Proportion Layers'!$A$8:$V$321,5,FALSE)+VLOOKUP(A152,'Change in Proportion Layers'!$A$8:$V$321,12,FALSE)+VLOOKUP(A152,'Change in Proportion Layers'!$A$8:$V$321,18,FALSE)</f>
        <v>-13743</v>
      </c>
      <c r="T152" s="246">
        <f>+N152+VLOOKUP(A152,'Change in Proportion Layers'!$A$8:$V$321,6,FALSE)+VLOOKUP(A152,'Change in Proportion Layers'!$A$8:$V$321,13,FALSE)</f>
        <v>132599</v>
      </c>
      <c r="U152" s="246">
        <f>+O152+VLOOKUP(A152,'Change in Proportion Layers'!$A$8:$V$321,7,FALSE)+1</f>
        <v>-41639</v>
      </c>
      <c r="W152" s="246">
        <f>('OPEB Amounts_Report'!G152-'OPEB Amounts_Report'!M152)</f>
        <v>-499112</v>
      </c>
      <c r="X152" s="282">
        <f>SUM(Q152:U152)-('OPEB Amounts_Report'!G152-'OPEB Amounts_Report'!M152)</f>
        <v>0</v>
      </c>
    </row>
    <row r="153" spans="1:24" s="8" customFormat="1">
      <c r="A153" s="237">
        <v>6019</v>
      </c>
      <c r="B153" s="238" t="s">
        <v>143</v>
      </c>
      <c r="C153" s="48">
        <f t="shared" si="15"/>
        <v>-1901729</v>
      </c>
      <c r="D153" s="48">
        <f t="shared" si="16"/>
        <v>-1075937</v>
      </c>
      <c r="E153" s="48">
        <f t="shared" si="17"/>
        <v>-455787</v>
      </c>
      <c r="F153" s="48">
        <f t="shared" si="18"/>
        <v>132396</v>
      </c>
      <c r="G153" s="48">
        <f t="shared" si="19"/>
        <v>-502444</v>
      </c>
      <c r="I153" s="51"/>
      <c r="K153" s="156">
        <f>ROUND(VLOOKUP($A153,'Contribution Allocation_Report'!$A$9:$D$310,4,FALSE)*$K$323,0)</f>
        <v>-2178846</v>
      </c>
      <c r="L153" s="156">
        <f>ROUND(VLOOKUP($A153,'Contribution Allocation_Report'!$A$9:$D$310,4,FALSE)*$L$323,0)</f>
        <v>-1371161</v>
      </c>
      <c r="M153" s="156">
        <f>ROUND(VLOOKUP($A153,'Contribution Allocation_Report'!$A$9:$D$310,4,FALSE)*$M$323,0)</f>
        <v>-779069</v>
      </c>
      <c r="N153" s="156">
        <f>ROUND(VLOOKUP($A153,'Contribution Allocation_Report'!$A$9:$D$310,4,FALSE)*$N$323,0)</f>
        <v>-154916</v>
      </c>
      <c r="O153" s="246">
        <f>ROUND(VLOOKUP($A153,'Contribution Allocation_Report'!$A$9:$D$310,4,FALSE)*$O$323,0)</f>
        <v>-637134</v>
      </c>
      <c r="Q153" s="246">
        <f>+K153+VLOOKUP(A153,'Change in Proportion Layers'!$A$8:$I$321,3,FALSE)+VLOOKUP(A153,'Change in Proportion Layers'!$A$8:$V$321,10,FALSE)+VLOOKUP(A153,'Change in Proportion Layers'!$A$8:$V$321,16,FALSE)+VLOOKUP(A153,'Change in Proportion Layers'!$A$8:$V$321,21,FALSE)</f>
        <v>-1901729</v>
      </c>
      <c r="R153" s="246">
        <f>+L153+VLOOKUP(A153,'Change in Proportion Layers'!$A$8:$V$321,4,FALSE)+VLOOKUP(A153,'Change in Proportion Layers'!$A$8:$V$321,11,FALSE)+VLOOKUP(A153,'Change in Proportion Layers'!$A$8:$V$321,17,FALSE)+VLOOKUP(A153,'Change in Proportion Layers'!$A$8:$V$321,22,FALSE)</f>
        <v>-1075937</v>
      </c>
      <c r="S153" s="246">
        <f>+M153+VLOOKUP(A153,'Change in Proportion Layers'!$A$8:$V$321,5,FALSE)+VLOOKUP(A153,'Change in Proportion Layers'!$A$8:$V$321,12,FALSE)+VLOOKUP(A153,'Change in Proportion Layers'!$A$8:$V$321,18,FALSE)</f>
        <v>-455787</v>
      </c>
      <c r="T153" s="246">
        <f>+N153+VLOOKUP(A153,'Change in Proportion Layers'!$A$8:$V$321,6,FALSE)+VLOOKUP(A153,'Change in Proportion Layers'!$A$8:$V$321,13,FALSE)</f>
        <v>132396</v>
      </c>
      <c r="U153" s="246">
        <f>+O153+VLOOKUP(A153,'Change in Proportion Layers'!$A$8:$V$321,7,FALSE)-1</f>
        <v>-502444</v>
      </c>
      <c r="W153" s="246">
        <f>('OPEB Amounts_Report'!G153-'OPEB Amounts_Report'!M153)</f>
        <v>-3803501</v>
      </c>
      <c r="X153" s="282">
        <f>SUM(Q153:U153)-('OPEB Amounts_Report'!G153-'OPEB Amounts_Report'!M153)</f>
        <v>0</v>
      </c>
    </row>
    <row r="154" spans="1:24" s="8" customFormat="1">
      <c r="A154" s="235">
        <v>12128</v>
      </c>
      <c r="B154" s="236" t="s">
        <v>144</v>
      </c>
      <c r="C154" s="245">
        <f t="shared" si="15"/>
        <v>-640681</v>
      </c>
      <c r="D154" s="245">
        <f t="shared" si="16"/>
        <v>-433507</v>
      </c>
      <c r="E154" s="245">
        <f t="shared" si="17"/>
        <v>-306694</v>
      </c>
      <c r="F154" s="245">
        <f t="shared" si="18"/>
        <v>-200478</v>
      </c>
      <c r="G154" s="245">
        <f t="shared" si="19"/>
        <v>-223438</v>
      </c>
      <c r="I154" s="51"/>
      <c r="K154" s="156">
        <f>ROUND(VLOOKUP($A154,'Contribution Allocation_Report'!$A$9:$D$310,4,FALSE)*$K$323,0)</f>
        <v>-551309</v>
      </c>
      <c r="L154" s="156">
        <f>ROUND(VLOOKUP($A154,'Contribution Allocation_Report'!$A$9:$D$310,4,FALSE)*$L$323,0)</f>
        <v>-346942</v>
      </c>
      <c r="M154" s="156">
        <f>ROUND(VLOOKUP($A154,'Contribution Allocation_Report'!$A$9:$D$310,4,FALSE)*$M$323,0)</f>
        <v>-197126</v>
      </c>
      <c r="N154" s="156">
        <f>ROUND(VLOOKUP($A154,'Contribution Allocation_Report'!$A$9:$D$310,4,FALSE)*$N$323,0)</f>
        <v>-39198</v>
      </c>
      <c r="O154" s="246">
        <f>ROUND(VLOOKUP($A154,'Contribution Allocation_Report'!$A$9:$D$310,4,FALSE)*$O$323,0)</f>
        <v>-161213</v>
      </c>
      <c r="Q154" s="246">
        <f>+K154+VLOOKUP(A154,'Change in Proportion Layers'!$A$8:$I$321,3,FALSE)+VLOOKUP(A154,'Change in Proportion Layers'!$A$8:$V$321,10,FALSE)+VLOOKUP(A154,'Change in Proportion Layers'!$A$8:$V$321,16,FALSE)+VLOOKUP(A154,'Change in Proportion Layers'!$A$8:$V$321,21,FALSE)</f>
        <v>-640681</v>
      </c>
      <c r="R154" s="246">
        <f>+L154+VLOOKUP(A154,'Change in Proportion Layers'!$A$8:$V$321,4,FALSE)+VLOOKUP(A154,'Change in Proportion Layers'!$A$8:$V$321,11,FALSE)+VLOOKUP(A154,'Change in Proportion Layers'!$A$8:$V$321,17,FALSE)+VLOOKUP(A154,'Change in Proportion Layers'!$A$8:$V$321,22,FALSE)</f>
        <v>-433507</v>
      </c>
      <c r="S154" s="246">
        <f>+M154+VLOOKUP(A154,'Change in Proportion Layers'!$A$8:$V$321,5,FALSE)+VLOOKUP(A154,'Change in Proportion Layers'!$A$8:$V$321,12,FALSE)+VLOOKUP(A154,'Change in Proportion Layers'!$A$8:$V$321,18,FALSE)</f>
        <v>-306694</v>
      </c>
      <c r="T154" s="246">
        <f>+N154+VLOOKUP(A154,'Change in Proportion Layers'!$A$8:$V$321,6,FALSE)+VLOOKUP(A154,'Change in Proportion Layers'!$A$8:$V$321,13,FALSE)</f>
        <v>-200478</v>
      </c>
      <c r="U154" s="246">
        <f>+O154+VLOOKUP(A154,'Change in Proportion Layers'!$A$8:$V$321,7,FALSE)-1</f>
        <v>-223438</v>
      </c>
      <c r="W154" s="246">
        <f>('OPEB Amounts_Report'!G154-'OPEB Amounts_Report'!M154)</f>
        <v>-1804798</v>
      </c>
      <c r="X154" s="282">
        <f>SUM(Q154:U154)-('OPEB Amounts_Report'!G154-'OPEB Amounts_Report'!M154)</f>
        <v>0</v>
      </c>
    </row>
    <row r="155" spans="1:24" s="8" customFormat="1">
      <c r="A155" s="237">
        <v>3180</v>
      </c>
      <c r="B155" s="238" t="s">
        <v>145</v>
      </c>
      <c r="C155" s="48">
        <f t="shared" si="15"/>
        <v>-1009948</v>
      </c>
      <c r="D155" s="48">
        <f t="shared" si="16"/>
        <v>-695163</v>
      </c>
      <c r="E155" s="48">
        <f t="shared" si="17"/>
        <v>-423233</v>
      </c>
      <c r="F155" s="48">
        <f t="shared" si="18"/>
        <v>-130180</v>
      </c>
      <c r="G155" s="48">
        <f t="shared" si="19"/>
        <v>-294631</v>
      </c>
      <c r="I155" s="51"/>
      <c r="K155" s="156">
        <f>ROUND(VLOOKUP($A155,'Contribution Allocation_Report'!$A$9:$D$310,4,FALSE)*$K$323,0)</f>
        <v>-833316</v>
      </c>
      <c r="L155" s="156">
        <f>ROUND(VLOOKUP($A155,'Contribution Allocation_Report'!$A$9:$D$310,4,FALSE)*$L$323,0)</f>
        <v>-524411</v>
      </c>
      <c r="M155" s="156">
        <f>ROUND(VLOOKUP($A155,'Contribution Allocation_Report'!$A$9:$D$310,4,FALSE)*$M$323,0)</f>
        <v>-297961</v>
      </c>
      <c r="N155" s="156">
        <f>ROUND(VLOOKUP($A155,'Contribution Allocation_Report'!$A$9:$D$310,4,FALSE)*$N$323,0)</f>
        <v>-59249</v>
      </c>
      <c r="O155" s="246">
        <f>ROUND(VLOOKUP($A155,'Contribution Allocation_Report'!$A$9:$D$310,4,FALSE)*$O$323,0)</f>
        <v>-243677</v>
      </c>
      <c r="Q155" s="246">
        <f>+K155+VLOOKUP(A155,'Change in Proportion Layers'!$A$8:$I$321,3,FALSE)+VLOOKUP(A155,'Change in Proportion Layers'!$A$8:$V$321,10,FALSE)+VLOOKUP(A155,'Change in Proportion Layers'!$A$8:$V$321,16,FALSE)+VLOOKUP(A155,'Change in Proportion Layers'!$A$8:$V$321,21,FALSE)</f>
        <v>-1009948</v>
      </c>
      <c r="R155" s="246">
        <f>+L155+VLOOKUP(A155,'Change in Proportion Layers'!$A$8:$V$321,4,FALSE)+VLOOKUP(A155,'Change in Proportion Layers'!$A$8:$V$321,11,FALSE)+VLOOKUP(A155,'Change in Proportion Layers'!$A$8:$V$321,17,FALSE)+VLOOKUP(A155,'Change in Proportion Layers'!$A$8:$V$321,22,FALSE)</f>
        <v>-695163</v>
      </c>
      <c r="S155" s="246">
        <f>+M155+VLOOKUP(A155,'Change in Proportion Layers'!$A$8:$V$321,5,FALSE)+VLOOKUP(A155,'Change in Proportion Layers'!$A$8:$V$321,12,FALSE)+VLOOKUP(A155,'Change in Proportion Layers'!$A$8:$V$321,18,FALSE)</f>
        <v>-423233</v>
      </c>
      <c r="T155" s="246">
        <f>+N155+VLOOKUP(A155,'Change in Proportion Layers'!$A$8:$V$321,6,FALSE)+VLOOKUP(A155,'Change in Proportion Layers'!$A$8:$V$321,13,FALSE)</f>
        <v>-130180</v>
      </c>
      <c r="U155" s="246">
        <f>+O155+VLOOKUP(A155,'Change in Proportion Layers'!$A$8:$V$321,7,FALSE)+2</f>
        <v>-294631</v>
      </c>
      <c r="W155" s="246">
        <f>('OPEB Amounts_Report'!G155-'OPEB Amounts_Report'!M155)</f>
        <v>-2553155</v>
      </c>
      <c r="X155" s="282">
        <f>SUM(Q155:U155)-('OPEB Amounts_Report'!G155-'OPEB Amounts_Report'!M155)</f>
        <v>0</v>
      </c>
    </row>
    <row r="156" spans="1:24" s="8" customFormat="1">
      <c r="A156" s="235">
        <v>25075</v>
      </c>
      <c r="B156" s="236" t="s">
        <v>146</v>
      </c>
      <c r="C156" s="245">
        <f t="shared" si="15"/>
        <v>-363897</v>
      </c>
      <c r="D156" s="245">
        <f t="shared" si="16"/>
        <v>-214055</v>
      </c>
      <c r="E156" s="245">
        <f t="shared" si="17"/>
        <v>-81395</v>
      </c>
      <c r="F156" s="245">
        <f t="shared" si="18"/>
        <v>-21419</v>
      </c>
      <c r="G156" s="245">
        <f t="shared" si="19"/>
        <v>-74772</v>
      </c>
      <c r="I156" s="51"/>
      <c r="K156" s="156">
        <f>ROUND(VLOOKUP($A156,'Contribution Allocation_Report'!$A$9:$D$310,4,FALSE)*$K$323,0)</f>
        <v>-339570</v>
      </c>
      <c r="L156" s="156">
        <f>ROUND(VLOOKUP($A156,'Contribution Allocation_Report'!$A$9:$D$310,4,FALSE)*$L$323,0)</f>
        <v>-213694</v>
      </c>
      <c r="M156" s="156">
        <f>ROUND(VLOOKUP($A156,'Contribution Allocation_Report'!$A$9:$D$310,4,FALSE)*$M$323,0)</f>
        <v>-121417</v>
      </c>
      <c r="N156" s="156">
        <f>ROUND(VLOOKUP($A156,'Contribution Allocation_Report'!$A$9:$D$310,4,FALSE)*$N$323,0)</f>
        <v>-24143</v>
      </c>
      <c r="O156" s="246">
        <f>ROUND(VLOOKUP($A156,'Contribution Allocation_Report'!$A$9:$D$310,4,FALSE)*$O$323,0)</f>
        <v>-99297</v>
      </c>
      <c r="Q156" s="246">
        <f>+K156+VLOOKUP(A156,'Change in Proportion Layers'!$A$8:$I$321,3,FALSE)+VLOOKUP(A156,'Change in Proportion Layers'!$A$8:$V$321,10,FALSE)+VLOOKUP(A156,'Change in Proportion Layers'!$A$8:$V$321,16,FALSE)+VLOOKUP(A156,'Change in Proportion Layers'!$A$8:$V$321,21,FALSE)</f>
        <v>-363897</v>
      </c>
      <c r="R156" s="246">
        <f>+L156+VLOOKUP(A156,'Change in Proportion Layers'!$A$8:$V$321,4,FALSE)+VLOOKUP(A156,'Change in Proportion Layers'!$A$8:$V$321,11,FALSE)+VLOOKUP(A156,'Change in Proportion Layers'!$A$8:$V$321,17,FALSE)+VLOOKUP(A156,'Change in Proportion Layers'!$A$8:$V$321,22,FALSE)</f>
        <v>-214055</v>
      </c>
      <c r="S156" s="246">
        <f>+M156+VLOOKUP(A156,'Change in Proportion Layers'!$A$8:$V$321,5,FALSE)+VLOOKUP(A156,'Change in Proportion Layers'!$A$8:$V$321,12,FALSE)+VLOOKUP(A156,'Change in Proportion Layers'!$A$8:$V$321,18,FALSE)</f>
        <v>-81395</v>
      </c>
      <c r="T156" s="246">
        <f>+N156+VLOOKUP(A156,'Change in Proportion Layers'!$A$8:$V$321,6,FALSE)+VLOOKUP(A156,'Change in Proportion Layers'!$A$8:$V$321,13,FALSE)</f>
        <v>-21419</v>
      </c>
      <c r="U156" s="246">
        <f>+O156+VLOOKUP(A156,'Change in Proportion Layers'!$A$8:$V$321,7,FALSE)+1</f>
        <v>-74772</v>
      </c>
      <c r="W156" s="246">
        <f>('OPEB Amounts_Report'!G156-'OPEB Amounts_Report'!M156)</f>
        <v>-755538</v>
      </c>
      <c r="X156" s="282">
        <f>SUM(Q156:U156)-('OPEB Amounts_Report'!G156-'OPEB Amounts_Report'!M156)</f>
        <v>0</v>
      </c>
    </row>
    <row r="157" spans="1:24" s="8" customFormat="1">
      <c r="A157" s="237">
        <v>9028</v>
      </c>
      <c r="B157" s="238" t="s">
        <v>147</v>
      </c>
      <c r="C157" s="48">
        <f t="shared" si="15"/>
        <v>-149491</v>
      </c>
      <c r="D157" s="48">
        <f t="shared" si="16"/>
        <v>-98375</v>
      </c>
      <c r="E157" s="48">
        <f t="shared" si="17"/>
        <v>-58202</v>
      </c>
      <c r="F157" s="48">
        <f t="shared" si="18"/>
        <v>-19370</v>
      </c>
      <c r="G157" s="48">
        <f t="shared" si="19"/>
        <v>-52528</v>
      </c>
      <c r="I157" s="51"/>
      <c r="K157" s="156">
        <f>ROUND(VLOOKUP($A157,'Contribution Allocation_Report'!$A$9:$D$310,4,FALSE)*$K$323,0)</f>
        <v>-134300</v>
      </c>
      <c r="L157" s="156">
        <f>ROUND(VLOOKUP($A157,'Contribution Allocation_Report'!$A$9:$D$310,4,FALSE)*$L$323,0)</f>
        <v>-84516</v>
      </c>
      <c r="M157" s="156">
        <f>ROUND(VLOOKUP($A157,'Contribution Allocation_Report'!$A$9:$D$310,4,FALSE)*$M$323,0)</f>
        <v>-48020</v>
      </c>
      <c r="N157" s="156">
        <f>ROUND(VLOOKUP($A157,'Contribution Allocation_Report'!$A$9:$D$310,4,FALSE)*$N$323,0)</f>
        <v>-9549</v>
      </c>
      <c r="O157" s="246">
        <f>ROUND(VLOOKUP($A157,'Contribution Allocation_Report'!$A$9:$D$310,4,FALSE)*$O$323,0)</f>
        <v>-39272</v>
      </c>
      <c r="Q157" s="246">
        <f>+K157+VLOOKUP(A157,'Change in Proportion Layers'!$A$8:$I$321,3,FALSE)+VLOOKUP(A157,'Change in Proportion Layers'!$A$8:$V$321,10,FALSE)+VLOOKUP(A157,'Change in Proportion Layers'!$A$8:$V$321,16,FALSE)+VLOOKUP(A157,'Change in Proportion Layers'!$A$8:$V$321,21,FALSE)</f>
        <v>-149491</v>
      </c>
      <c r="R157" s="246">
        <f>+L157+VLOOKUP(A157,'Change in Proportion Layers'!$A$8:$V$321,4,FALSE)+VLOOKUP(A157,'Change in Proportion Layers'!$A$8:$V$321,11,FALSE)+VLOOKUP(A157,'Change in Proportion Layers'!$A$8:$V$321,17,FALSE)+VLOOKUP(A157,'Change in Proportion Layers'!$A$8:$V$321,22,FALSE)</f>
        <v>-98375</v>
      </c>
      <c r="S157" s="246">
        <f>+M157+VLOOKUP(A157,'Change in Proportion Layers'!$A$8:$V$321,5,FALSE)+VLOOKUP(A157,'Change in Proportion Layers'!$A$8:$V$321,12,FALSE)+VLOOKUP(A157,'Change in Proportion Layers'!$A$8:$V$321,18,FALSE)</f>
        <v>-58202</v>
      </c>
      <c r="T157" s="246">
        <f>+N157+VLOOKUP(A157,'Change in Proportion Layers'!$A$8:$V$321,6,FALSE)+VLOOKUP(A157,'Change in Proportion Layers'!$A$8:$V$321,13,FALSE)</f>
        <v>-19370</v>
      </c>
      <c r="U157" s="246">
        <f>+O157+VLOOKUP(A157,'Change in Proportion Layers'!$A$8:$V$321,7,FALSE)</f>
        <v>-52528</v>
      </c>
      <c r="W157" s="246">
        <f>('OPEB Amounts_Report'!G157-'OPEB Amounts_Report'!M157)</f>
        <v>-377966</v>
      </c>
      <c r="X157" s="282">
        <f>SUM(Q157:U157)-('OPEB Amounts_Report'!G157-'OPEB Amounts_Report'!M157)</f>
        <v>0</v>
      </c>
    </row>
    <row r="158" spans="1:24" s="8" customFormat="1">
      <c r="A158" s="235">
        <v>17424</v>
      </c>
      <c r="B158" s="236" t="s">
        <v>148</v>
      </c>
      <c r="C158" s="245">
        <f t="shared" si="15"/>
        <v>-229376</v>
      </c>
      <c r="D158" s="245">
        <f t="shared" si="16"/>
        <v>-128874</v>
      </c>
      <c r="E158" s="245">
        <f t="shared" si="17"/>
        <v>-38135</v>
      </c>
      <c r="F158" s="245">
        <f t="shared" si="18"/>
        <v>25600</v>
      </c>
      <c r="G158" s="245">
        <f t="shared" si="19"/>
        <v>-61724</v>
      </c>
      <c r="I158" s="51"/>
      <c r="K158" s="156">
        <f>ROUND(VLOOKUP($A158,'Contribution Allocation_Report'!$A$9:$D$310,4,FALSE)*$K$323,0)</f>
        <v>-242021</v>
      </c>
      <c r="L158" s="156">
        <f>ROUND(VLOOKUP($A158,'Contribution Allocation_Report'!$A$9:$D$310,4,FALSE)*$L$323,0)</f>
        <v>-152305</v>
      </c>
      <c r="M158" s="156">
        <f>ROUND(VLOOKUP($A158,'Contribution Allocation_Report'!$A$9:$D$310,4,FALSE)*$M$323,0)</f>
        <v>-86537</v>
      </c>
      <c r="N158" s="156">
        <f>ROUND(VLOOKUP($A158,'Contribution Allocation_Report'!$A$9:$D$310,4,FALSE)*$N$323,0)</f>
        <v>-17208</v>
      </c>
      <c r="O158" s="246">
        <f>ROUND(VLOOKUP($A158,'Contribution Allocation_Report'!$A$9:$D$310,4,FALSE)*$O$323,0)</f>
        <v>-70771</v>
      </c>
      <c r="Q158" s="246">
        <f>+K158+VLOOKUP(A158,'Change in Proportion Layers'!$A$8:$I$321,3,FALSE)+VLOOKUP(A158,'Change in Proportion Layers'!$A$8:$V$321,10,FALSE)+VLOOKUP(A158,'Change in Proportion Layers'!$A$8:$V$321,16,FALSE)+VLOOKUP(A158,'Change in Proportion Layers'!$A$8:$V$321,21,FALSE)</f>
        <v>-229376</v>
      </c>
      <c r="R158" s="246">
        <f>+L158+VLOOKUP(A158,'Change in Proportion Layers'!$A$8:$V$321,4,FALSE)+VLOOKUP(A158,'Change in Proportion Layers'!$A$8:$V$321,11,FALSE)+VLOOKUP(A158,'Change in Proportion Layers'!$A$8:$V$321,17,FALSE)+VLOOKUP(A158,'Change in Proportion Layers'!$A$8:$V$321,22,FALSE)</f>
        <v>-128874</v>
      </c>
      <c r="S158" s="246">
        <f>+M158+VLOOKUP(A158,'Change in Proportion Layers'!$A$8:$V$321,5,FALSE)+VLOOKUP(A158,'Change in Proportion Layers'!$A$8:$V$321,12,FALSE)+VLOOKUP(A158,'Change in Proportion Layers'!$A$8:$V$321,18,FALSE)</f>
        <v>-38135</v>
      </c>
      <c r="T158" s="246">
        <f>+N158+VLOOKUP(A158,'Change in Proportion Layers'!$A$8:$V$321,6,FALSE)+VLOOKUP(A158,'Change in Proportion Layers'!$A$8:$V$321,13,FALSE)</f>
        <v>25600</v>
      </c>
      <c r="U158" s="246">
        <f>+O158+VLOOKUP(A158,'Change in Proportion Layers'!$A$8:$V$321,7,FALSE)</f>
        <v>-61724</v>
      </c>
      <c r="W158" s="246">
        <f>('OPEB Amounts_Report'!G158-'OPEB Amounts_Report'!M158)</f>
        <v>-432509</v>
      </c>
      <c r="X158" s="282">
        <f>SUM(Q158:U158)-('OPEB Amounts_Report'!G158-'OPEB Amounts_Report'!M158)</f>
        <v>0</v>
      </c>
    </row>
    <row r="159" spans="1:24" s="8" customFormat="1">
      <c r="A159" s="237">
        <v>3200</v>
      </c>
      <c r="B159" s="238" t="s">
        <v>149</v>
      </c>
      <c r="C159" s="48">
        <f t="shared" si="15"/>
        <v>-1421940</v>
      </c>
      <c r="D159" s="48">
        <f t="shared" si="16"/>
        <v>-992230</v>
      </c>
      <c r="E159" s="48">
        <f t="shared" si="17"/>
        <v>-530316</v>
      </c>
      <c r="F159" s="48">
        <f t="shared" si="18"/>
        <v>-219558</v>
      </c>
      <c r="G159" s="48">
        <f t="shared" si="19"/>
        <v>-299006</v>
      </c>
      <c r="I159" s="51"/>
      <c r="K159" s="156">
        <f>ROUND(VLOOKUP($A159,'Contribution Allocation_Report'!$A$9:$D$310,4,FALSE)*$K$323,0)</f>
        <v>-968788</v>
      </c>
      <c r="L159" s="156">
        <f>ROUND(VLOOKUP($A159,'Contribution Allocation_Report'!$A$9:$D$310,4,FALSE)*$L$323,0)</f>
        <v>-609664</v>
      </c>
      <c r="M159" s="156">
        <f>ROUND(VLOOKUP($A159,'Contribution Allocation_Report'!$A$9:$D$310,4,FALSE)*$M$323,0)</f>
        <v>-346400</v>
      </c>
      <c r="N159" s="156">
        <f>ROUND(VLOOKUP($A159,'Contribution Allocation_Report'!$A$9:$D$310,4,FALSE)*$N$323,0)</f>
        <v>-68881</v>
      </c>
      <c r="O159" s="246">
        <f>ROUND(VLOOKUP($A159,'Contribution Allocation_Report'!$A$9:$D$310,4,FALSE)*$O$323,0)</f>
        <v>-283291</v>
      </c>
      <c r="Q159" s="246">
        <f>+K159+VLOOKUP(A159,'Change in Proportion Layers'!$A$8:$I$321,3,FALSE)+VLOOKUP(A159,'Change in Proportion Layers'!$A$8:$V$321,10,FALSE)+VLOOKUP(A159,'Change in Proportion Layers'!$A$8:$V$321,16,FALSE)+VLOOKUP(A159,'Change in Proportion Layers'!$A$8:$V$321,21,FALSE)</f>
        <v>-1421940</v>
      </c>
      <c r="R159" s="246">
        <f>+L159+VLOOKUP(A159,'Change in Proportion Layers'!$A$8:$V$321,4,FALSE)+VLOOKUP(A159,'Change in Proportion Layers'!$A$8:$V$321,11,FALSE)+VLOOKUP(A159,'Change in Proportion Layers'!$A$8:$V$321,17,FALSE)+VLOOKUP(A159,'Change in Proportion Layers'!$A$8:$V$321,22,FALSE)</f>
        <v>-992230</v>
      </c>
      <c r="S159" s="246">
        <f>+M159+VLOOKUP(A159,'Change in Proportion Layers'!$A$8:$V$321,5,FALSE)+VLOOKUP(A159,'Change in Proportion Layers'!$A$8:$V$321,12,FALSE)+VLOOKUP(A159,'Change in Proportion Layers'!$A$8:$V$321,18,FALSE)</f>
        <v>-530316</v>
      </c>
      <c r="T159" s="246">
        <f>+N159+VLOOKUP(A159,'Change in Proportion Layers'!$A$8:$V$321,6,FALSE)+VLOOKUP(A159,'Change in Proportion Layers'!$A$8:$V$321,13,FALSE)</f>
        <v>-219558</v>
      </c>
      <c r="U159" s="246">
        <f>+O159+VLOOKUP(A159,'Change in Proportion Layers'!$A$8:$V$321,7,FALSE)</f>
        <v>-299006</v>
      </c>
      <c r="W159" s="246">
        <f>('OPEB Amounts_Report'!G159-'OPEB Amounts_Report'!M159)</f>
        <v>-3463050</v>
      </c>
      <c r="X159" s="282">
        <f>SUM(Q159:U159)-('OPEB Amounts_Report'!G159-'OPEB Amounts_Report'!M159)</f>
        <v>0</v>
      </c>
    </row>
    <row r="160" spans="1:24" s="8" customFormat="1">
      <c r="A160" s="235">
        <v>2365</v>
      </c>
      <c r="B160" s="236" t="s">
        <v>150</v>
      </c>
      <c r="C160" s="245">
        <f t="shared" si="15"/>
        <v>-150562</v>
      </c>
      <c r="D160" s="245">
        <f t="shared" si="16"/>
        <v>-94464</v>
      </c>
      <c r="E160" s="245">
        <f t="shared" si="17"/>
        <v>-69632</v>
      </c>
      <c r="F160" s="245">
        <f t="shared" si="18"/>
        <v>-49029</v>
      </c>
      <c r="G160" s="245">
        <f t="shared" si="19"/>
        <v>-69858</v>
      </c>
      <c r="I160" s="51"/>
      <c r="K160" s="156">
        <f>ROUND(VLOOKUP($A160,'Contribution Allocation_Report'!$A$9:$D$310,4,FALSE)*$K$323,0)</f>
        <v>-155300</v>
      </c>
      <c r="L160" s="156">
        <f>ROUND(VLOOKUP($A160,'Contribution Allocation_Report'!$A$9:$D$310,4,FALSE)*$L$323,0)</f>
        <v>-97731</v>
      </c>
      <c r="M160" s="156">
        <f>ROUND(VLOOKUP($A160,'Contribution Allocation_Report'!$A$9:$D$310,4,FALSE)*$M$323,0)</f>
        <v>-55529</v>
      </c>
      <c r="N160" s="156">
        <f>ROUND(VLOOKUP($A160,'Contribution Allocation_Report'!$A$9:$D$310,4,FALSE)*$N$323,0)</f>
        <v>-11042</v>
      </c>
      <c r="O160" s="246">
        <f>ROUND(VLOOKUP($A160,'Contribution Allocation_Report'!$A$9:$D$310,4,FALSE)*$O$323,0)</f>
        <v>-45413</v>
      </c>
      <c r="Q160" s="246">
        <f>+K160+VLOOKUP(A160,'Change in Proportion Layers'!$A$8:$I$321,3,FALSE)+VLOOKUP(A160,'Change in Proportion Layers'!$A$8:$V$321,10,FALSE)+VLOOKUP(A160,'Change in Proportion Layers'!$A$8:$V$321,16,FALSE)+VLOOKUP(A160,'Change in Proportion Layers'!$A$8:$V$321,21,FALSE)</f>
        <v>-150562</v>
      </c>
      <c r="R160" s="246">
        <f>+L160+VLOOKUP(A160,'Change in Proportion Layers'!$A$8:$V$321,4,FALSE)+VLOOKUP(A160,'Change in Proportion Layers'!$A$8:$V$321,11,FALSE)+VLOOKUP(A160,'Change in Proportion Layers'!$A$8:$V$321,17,FALSE)+VLOOKUP(A160,'Change in Proportion Layers'!$A$8:$V$321,22,FALSE)</f>
        <v>-94464</v>
      </c>
      <c r="S160" s="246">
        <f>+M160+VLOOKUP(A160,'Change in Proportion Layers'!$A$8:$V$321,5,FALSE)+VLOOKUP(A160,'Change in Proportion Layers'!$A$8:$V$321,12,FALSE)+VLOOKUP(A160,'Change in Proportion Layers'!$A$8:$V$321,18,FALSE)</f>
        <v>-69632</v>
      </c>
      <c r="T160" s="246">
        <f>+N160+VLOOKUP(A160,'Change in Proportion Layers'!$A$8:$V$321,6,FALSE)+VLOOKUP(A160,'Change in Proportion Layers'!$A$8:$V$321,13,FALSE)</f>
        <v>-49029</v>
      </c>
      <c r="U160" s="246">
        <f>+O160+VLOOKUP(A160,'Change in Proportion Layers'!$A$8:$V$321,7,FALSE)</f>
        <v>-69858</v>
      </c>
      <c r="W160" s="246">
        <f>('OPEB Amounts_Report'!G160-'OPEB Amounts_Report'!M160)</f>
        <v>-433545</v>
      </c>
      <c r="X160" s="282">
        <f>SUM(Q160:U160)-('OPEB Amounts_Report'!G160-'OPEB Amounts_Report'!M160)</f>
        <v>0</v>
      </c>
    </row>
    <row r="161" spans="1:24" s="8" customFormat="1">
      <c r="A161" s="237">
        <v>5014</v>
      </c>
      <c r="B161" s="238" t="s">
        <v>151</v>
      </c>
      <c r="C161" s="48">
        <f t="shared" si="15"/>
        <v>-175615</v>
      </c>
      <c r="D161" s="48">
        <f t="shared" si="16"/>
        <v>-109824</v>
      </c>
      <c r="E161" s="48">
        <f t="shared" si="17"/>
        <v>-66109</v>
      </c>
      <c r="F161" s="48">
        <f t="shared" si="18"/>
        <v>-12218</v>
      </c>
      <c r="G161" s="48">
        <f t="shared" si="19"/>
        <v>-60598</v>
      </c>
      <c r="I161" s="51"/>
      <c r="K161" s="156">
        <f>ROUND(VLOOKUP($A161,'Contribution Allocation_Report'!$A$9:$D$310,4,FALSE)*$K$323,0)</f>
        <v>-184973</v>
      </c>
      <c r="L161" s="156">
        <f>ROUND(VLOOKUP($A161,'Contribution Allocation_Report'!$A$9:$D$310,4,FALSE)*$L$323,0)</f>
        <v>-116405</v>
      </c>
      <c r="M161" s="156">
        <f>ROUND(VLOOKUP($A161,'Contribution Allocation_Report'!$A$9:$D$310,4,FALSE)*$M$323,0)</f>
        <v>-66139</v>
      </c>
      <c r="N161" s="156">
        <f>ROUND(VLOOKUP($A161,'Contribution Allocation_Report'!$A$9:$D$310,4,FALSE)*$N$323,0)</f>
        <v>-13152</v>
      </c>
      <c r="O161" s="246">
        <f>ROUND(VLOOKUP($A161,'Contribution Allocation_Report'!$A$9:$D$310,4,FALSE)*$O$323,0)</f>
        <v>-54089</v>
      </c>
      <c r="Q161" s="246">
        <f>+K161+VLOOKUP(A161,'Change in Proportion Layers'!$A$8:$I$321,3,FALSE)+VLOOKUP(A161,'Change in Proportion Layers'!$A$8:$V$321,10,FALSE)+VLOOKUP(A161,'Change in Proportion Layers'!$A$8:$V$321,16,FALSE)+VLOOKUP(A161,'Change in Proportion Layers'!$A$8:$V$321,21,FALSE)</f>
        <v>-175615</v>
      </c>
      <c r="R161" s="246">
        <f>+L161+VLOOKUP(A161,'Change in Proportion Layers'!$A$8:$V$321,4,FALSE)+VLOOKUP(A161,'Change in Proportion Layers'!$A$8:$V$321,11,FALSE)+VLOOKUP(A161,'Change in Proportion Layers'!$A$8:$V$321,17,FALSE)+VLOOKUP(A161,'Change in Proportion Layers'!$A$8:$V$321,22,FALSE)</f>
        <v>-109824</v>
      </c>
      <c r="S161" s="246">
        <f>+M161+VLOOKUP(A161,'Change in Proportion Layers'!$A$8:$V$321,5,FALSE)+VLOOKUP(A161,'Change in Proportion Layers'!$A$8:$V$321,12,FALSE)+VLOOKUP(A161,'Change in Proportion Layers'!$A$8:$V$321,18,FALSE)</f>
        <v>-66109</v>
      </c>
      <c r="T161" s="246">
        <f>+N161+VLOOKUP(A161,'Change in Proportion Layers'!$A$8:$V$321,6,FALSE)+VLOOKUP(A161,'Change in Proportion Layers'!$A$8:$V$321,13,FALSE)</f>
        <v>-12218</v>
      </c>
      <c r="U161" s="246">
        <f>+O161+VLOOKUP(A161,'Change in Proportion Layers'!$A$8:$V$321,7,FALSE)</f>
        <v>-60598</v>
      </c>
      <c r="W161" s="246">
        <f>('OPEB Amounts_Report'!G161-'OPEB Amounts_Report'!M161)</f>
        <v>-424364</v>
      </c>
      <c r="X161" s="282">
        <f>SUM(Q161:U161)-('OPEB Amounts_Report'!G161-'OPEB Amounts_Report'!M161)</f>
        <v>0</v>
      </c>
    </row>
    <row r="162" spans="1:24" s="8" customFormat="1">
      <c r="A162" s="235">
        <v>17127</v>
      </c>
      <c r="B162" s="236" t="s">
        <v>152</v>
      </c>
      <c r="C162" s="245">
        <f t="shared" si="15"/>
        <v>-367528</v>
      </c>
      <c r="D162" s="245">
        <f t="shared" si="16"/>
        <v>-295503</v>
      </c>
      <c r="E162" s="245">
        <f t="shared" si="17"/>
        <v>-153568</v>
      </c>
      <c r="F162" s="245">
        <f t="shared" si="18"/>
        <v>61802</v>
      </c>
      <c r="G162" s="245">
        <f t="shared" si="19"/>
        <v>-92507</v>
      </c>
      <c r="I162" s="51"/>
      <c r="K162" s="156">
        <f>ROUND(VLOOKUP($A162,'Contribution Allocation_Report'!$A$9:$D$310,4,FALSE)*$K$323,0)</f>
        <v>-196645</v>
      </c>
      <c r="L162" s="156">
        <f>ROUND(VLOOKUP($A162,'Contribution Allocation_Report'!$A$9:$D$310,4,FALSE)*$L$323,0)</f>
        <v>-123750</v>
      </c>
      <c r="M162" s="156">
        <f>ROUND(VLOOKUP($A162,'Contribution Allocation_Report'!$A$9:$D$310,4,FALSE)*$M$323,0)</f>
        <v>-70312</v>
      </c>
      <c r="N162" s="156">
        <f>ROUND(VLOOKUP($A162,'Contribution Allocation_Report'!$A$9:$D$310,4,FALSE)*$N$323,0)</f>
        <v>-13981</v>
      </c>
      <c r="O162" s="246">
        <f>ROUND(VLOOKUP($A162,'Contribution Allocation_Report'!$A$9:$D$310,4,FALSE)*$O$323,0)</f>
        <v>-57503</v>
      </c>
      <c r="Q162" s="246">
        <f>+K162+VLOOKUP(A162,'Change in Proportion Layers'!$A$8:$I$321,3,FALSE)+VLOOKUP(A162,'Change in Proportion Layers'!$A$8:$V$321,10,FALSE)+VLOOKUP(A162,'Change in Proportion Layers'!$A$8:$V$321,16,FALSE)+VLOOKUP(A162,'Change in Proportion Layers'!$A$8:$V$321,21,FALSE)</f>
        <v>-367528</v>
      </c>
      <c r="R162" s="246">
        <f>+L162+VLOOKUP(A162,'Change in Proportion Layers'!$A$8:$V$321,4,FALSE)+VLOOKUP(A162,'Change in Proportion Layers'!$A$8:$V$321,11,FALSE)+VLOOKUP(A162,'Change in Proportion Layers'!$A$8:$V$321,17,FALSE)+VLOOKUP(A162,'Change in Proportion Layers'!$A$8:$V$321,22,FALSE)</f>
        <v>-295503</v>
      </c>
      <c r="S162" s="246">
        <f>+M162+VLOOKUP(A162,'Change in Proportion Layers'!$A$8:$V$321,5,FALSE)+VLOOKUP(A162,'Change in Proportion Layers'!$A$8:$V$321,12,FALSE)+VLOOKUP(A162,'Change in Proportion Layers'!$A$8:$V$321,18,FALSE)</f>
        <v>-153568</v>
      </c>
      <c r="T162" s="246">
        <f>+N162+VLOOKUP(A162,'Change in Proportion Layers'!$A$8:$V$321,6,FALSE)+VLOOKUP(A162,'Change in Proportion Layers'!$A$8:$V$321,13,FALSE)</f>
        <v>61802</v>
      </c>
      <c r="U162" s="246">
        <f>+O162+VLOOKUP(A162,'Change in Proportion Layers'!$A$8:$V$321,7,FALSE)</f>
        <v>-92507</v>
      </c>
      <c r="W162" s="246">
        <f>('OPEB Amounts_Report'!G162-'OPEB Amounts_Report'!M162)</f>
        <v>-847304</v>
      </c>
      <c r="X162" s="282">
        <f>SUM(Q162:U162)-('OPEB Amounts_Report'!G162-'OPEB Amounts_Report'!M162)</f>
        <v>0</v>
      </c>
    </row>
    <row r="163" spans="1:24" s="8" customFormat="1">
      <c r="A163" s="237">
        <v>10141</v>
      </c>
      <c r="B163" s="238" t="s">
        <v>153</v>
      </c>
      <c r="C163" s="48">
        <f t="shared" si="15"/>
        <v>-373344</v>
      </c>
      <c r="D163" s="48">
        <f t="shared" si="16"/>
        <v>-266614</v>
      </c>
      <c r="E163" s="48">
        <f t="shared" si="17"/>
        <v>-188484</v>
      </c>
      <c r="F163" s="48">
        <f t="shared" si="18"/>
        <v>-101476</v>
      </c>
      <c r="G163" s="48">
        <f t="shared" si="19"/>
        <v>-111177</v>
      </c>
      <c r="I163" s="51"/>
      <c r="K163" s="156">
        <f>ROUND(VLOOKUP($A163,'Contribution Allocation_Report'!$A$9:$D$310,4,FALSE)*$K$323,0)</f>
        <v>-290350</v>
      </c>
      <c r="L163" s="156">
        <f>ROUND(VLOOKUP($A163,'Contribution Allocation_Report'!$A$9:$D$310,4,FALSE)*$L$323,0)</f>
        <v>-182719</v>
      </c>
      <c r="M163" s="156">
        <f>ROUND(VLOOKUP($A163,'Contribution Allocation_Report'!$A$9:$D$310,4,FALSE)*$M$323,0)</f>
        <v>-103818</v>
      </c>
      <c r="N163" s="156">
        <f>ROUND(VLOOKUP($A163,'Contribution Allocation_Report'!$A$9:$D$310,4,FALSE)*$N$323,0)</f>
        <v>-20644</v>
      </c>
      <c r="O163" s="246">
        <f>ROUND(VLOOKUP($A163,'Contribution Allocation_Report'!$A$9:$D$310,4,FALSE)*$O$323,0)</f>
        <v>-84904</v>
      </c>
      <c r="Q163" s="246">
        <f>+K163+VLOOKUP(A163,'Change in Proportion Layers'!$A$8:$I$321,3,FALSE)+VLOOKUP(A163,'Change in Proportion Layers'!$A$8:$V$321,10,FALSE)+VLOOKUP(A163,'Change in Proportion Layers'!$A$8:$V$321,16,FALSE)+VLOOKUP(A163,'Change in Proportion Layers'!$A$8:$V$321,21,FALSE)</f>
        <v>-373344</v>
      </c>
      <c r="R163" s="246">
        <f>+L163+VLOOKUP(A163,'Change in Proportion Layers'!$A$8:$V$321,4,FALSE)+VLOOKUP(A163,'Change in Proportion Layers'!$A$8:$V$321,11,FALSE)+VLOOKUP(A163,'Change in Proportion Layers'!$A$8:$V$321,17,FALSE)+VLOOKUP(A163,'Change in Proportion Layers'!$A$8:$V$321,22,FALSE)</f>
        <v>-266614</v>
      </c>
      <c r="S163" s="246">
        <f>+M163+VLOOKUP(A163,'Change in Proportion Layers'!$A$8:$V$321,5,FALSE)+VLOOKUP(A163,'Change in Proportion Layers'!$A$8:$V$321,12,FALSE)+VLOOKUP(A163,'Change in Proportion Layers'!$A$8:$V$321,18,FALSE)</f>
        <v>-188484</v>
      </c>
      <c r="T163" s="246">
        <f>+N163+VLOOKUP(A163,'Change in Proportion Layers'!$A$8:$V$321,6,FALSE)+VLOOKUP(A163,'Change in Proportion Layers'!$A$8:$V$321,13,FALSE)</f>
        <v>-101476</v>
      </c>
      <c r="U163" s="246">
        <f>+O163+VLOOKUP(A163,'Change in Proportion Layers'!$A$8:$V$321,7,FALSE)</f>
        <v>-111177</v>
      </c>
      <c r="W163" s="246">
        <f>('OPEB Amounts_Report'!G163-'OPEB Amounts_Report'!M163)</f>
        <v>-1041095</v>
      </c>
      <c r="X163" s="282">
        <f>SUM(Q163:U163)-('OPEB Amounts_Report'!G163-'OPEB Amounts_Report'!M163)</f>
        <v>0</v>
      </c>
    </row>
    <row r="164" spans="1:24" s="8" customFormat="1">
      <c r="A164" s="235">
        <v>4570</v>
      </c>
      <c r="B164" s="236" t="s">
        <v>413</v>
      </c>
      <c r="C164" s="245">
        <f t="shared" si="15"/>
        <v>731854</v>
      </c>
      <c r="D164" s="245">
        <f t="shared" si="16"/>
        <v>987117</v>
      </c>
      <c r="E164" s="245">
        <f t="shared" si="17"/>
        <v>665286</v>
      </c>
      <c r="F164" s="245">
        <f t="shared" si="18"/>
        <v>-41258</v>
      </c>
      <c r="G164" s="245">
        <f t="shared" si="19"/>
        <v>-145486</v>
      </c>
      <c r="I164" s="51"/>
      <c r="K164" s="156">
        <f>ROUND(VLOOKUP($A164,'Contribution Allocation_Report'!$A$9:$D$310,4,FALSE)*$K$323,0)</f>
        <v>-688609</v>
      </c>
      <c r="L164" s="156">
        <f>ROUND(VLOOKUP($A164,'Contribution Allocation_Report'!$A$9:$D$310,4,FALSE)*$L$323,0)</f>
        <v>-433346</v>
      </c>
      <c r="M164" s="156">
        <f>ROUND(VLOOKUP($A164,'Contribution Allocation_Report'!$A$9:$D$310,4,FALSE)*$M$323,0)</f>
        <v>-246219</v>
      </c>
      <c r="N164" s="156">
        <f>ROUND(VLOOKUP($A164,'Contribution Allocation_Report'!$A$9:$D$310,4,FALSE)*$N$323,0)</f>
        <v>-48960</v>
      </c>
      <c r="O164" s="246">
        <f>ROUND(VLOOKUP($A164,'Contribution Allocation_Report'!$A$9:$D$310,4,FALSE)*$O$323,0)</f>
        <v>-201362</v>
      </c>
      <c r="Q164" s="246">
        <f>+K164+VLOOKUP(A164,'Change in Proportion Layers'!$A$8:$I$321,3,FALSE)+VLOOKUP(A164,'Change in Proportion Layers'!$A$8:$V$321,10,FALSE)+VLOOKUP(A164,'Change in Proportion Layers'!$A$8:$V$321,16,FALSE)+VLOOKUP(A164,'Change in Proportion Layers'!$A$8:$V$321,21,FALSE)</f>
        <v>731854</v>
      </c>
      <c r="R164" s="246">
        <f>+L164+VLOOKUP(A164,'Change in Proportion Layers'!$A$8:$V$321,4,FALSE)+VLOOKUP(A164,'Change in Proportion Layers'!$A$8:$V$321,11,FALSE)+VLOOKUP(A164,'Change in Proportion Layers'!$A$8:$V$321,17,FALSE)+VLOOKUP(A164,'Change in Proportion Layers'!$A$8:$V$321,22,FALSE)</f>
        <v>987117</v>
      </c>
      <c r="S164" s="246">
        <f>+M164+VLOOKUP(A164,'Change in Proportion Layers'!$A$8:$V$321,5,FALSE)+VLOOKUP(A164,'Change in Proportion Layers'!$A$8:$V$321,12,FALSE)+VLOOKUP(A164,'Change in Proportion Layers'!$A$8:$V$321,18,FALSE)</f>
        <v>665286</v>
      </c>
      <c r="T164" s="246">
        <f>+N164+VLOOKUP(A164,'Change in Proportion Layers'!$A$8:$V$321,6,FALSE)+VLOOKUP(A164,'Change in Proportion Layers'!$A$8:$V$321,13,FALSE)</f>
        <v>-41258</v>
      </c>
      <c r="U164" s="246">
        <f>+O164+VLOOKUP(A164,'Change in Proportion Layers'!$A$8:$V$321,7,FALSE)-2</f>
        <v>-145486</v>
      </c>
      <c r="W164" s="246">
        <f>('OPEB Amounts_Report'!G164-'OPEB Amounts_Report'!M164)</f>
        <v>2197513</v>
      </c>
      <c r="X164" s="282">
        <f>SUM(Q164:U164)-('OPEB Amounts_Report'!G164-'OPEB Amounts_Report'!M164)</f>
        <v>0</v>
      </c>
    </row>
    <row r="165" spans="1:24" s="8" customFormat="1">
      <c r="A165" s="237">
        <v>13369</v>
      </c>
      <c r="B165" s="238" t="s">
        <v>154</v>
      </c>
      <c r="C165" s="48">
        <f t="shared" si="15"/>
        <v>-57364</v>
      </c>
      <c r="D165" s="48">
        <f t="shared" si="16"/>
        <v>-35080</v>
      </c>
      <c r="E165" s="48">
        <f t="shared" si="17"/>
        <v>-19669</v>
      </c>
      <c r="F165" s="48">
        <f t="shared" si="18"/>
        <v>-1031</v>
      </c>
      <c r="G165" s="48">
        <f t="shared" si="19"/>
        <v>-31897</v>
      </c>
      <c r="I165" s="51"/>
      <c r="K165" s="156">
        <f>ROUND(VLOOKUP($A165,'Contribution Allocation_Report'!$A$9:$D$310,4,FALSE)*$K$323,0)</f>
        <v>-62392</v>
      </c>
      <c r="L165" s="156">
        <f>ROUND(VLOOKUP($A165,'Contribution Allocation_Report'!$A$9:$D$310,4,FALSE)*$L$323,0)</f>
        <v>-39264</v>
      </c>
      <c r="M165" s="156">
        <f>ROUND(VLOOKUP($A165,'Contribution Allocation_Report'!$A$9:$D$310,4,FALSE)*$M$323,0)</f>
        <v>-22309</v>
      </c>
      <c r="N165" s="156">
        <f>ROUND(VLOOKUP($A165,'Contribution Allocation_Report'!$A$9:$D$310,4,FALSE)*$N$323,0)</f>
        <v>-4436</v>
      </c>
      <c r="O165" s="246">
        <f>ROUND(VLOOKUP($A165,'Contribution Allocation_Report'!$A$9:$D$310,4,FALSE)*$O$323,0)</f>
        <v>-18245</v>
      </c>
      <c r="Q165" s="246">
        <f>+K165+VLOOKUP(A165,'Change in Proportion Layers'!$A$8:$I$321,3,FALSE)+VLOOKUP(A165,'Change in Proportion Layers'!$A$8:$V$321,10,FALSE)+VLOOKUP(A165,'Change in Proportion Layers'!$A$8:$V$321,16,FALSE)+VLOOKUP(A165,'Change in Proportion Layers'!$A$8:$V$321,21,FALSE)</f>
        <v>-57364</v>
      </c>
      <c r="R165" s="246">
        <f>+L165+VLOOKUP(A165,'Change in Proportion Layers'!$A$8:$V$321,4,FALSE)+VLOOKUP(A165,'Change in Proportion Layers'!$A$8:$V$321,11,FALSE)+VLOOKUP(A165,'Change in Proportion Layers'!$A$8:$V$321,17,FALSE)+VLOOKUP(A165,'Change in Proportion Layers'!$A$8:$V$321,22,FALSE)</f>
        <v>-35080</v>
      </c>
      <c r="S165" s="246">
        <f>+M165+VLOOKUP(A165,'Change in Proportion Layers'!$A$8:$V$321,5,FALSE)+VLOOKUP(A165,'Change in Proportion Layers'!$A$8:$V$321,12,FALSE)+VLOOKUP(A165,'Change in Proportion Layers'!$A$8:$V$321,18,FALSE)</f>
        <v>-19669</v>
      </c>
      <c r="T165" s="246">
        <f>+N165+VLOOKUP(A165,'Change in Proportion Layers'!$A$8:$V$321,6,FALSE)+VLOOKUP(A165,'Change in Proportion Layers'!$A$8:$V$321,13,FALSE)</f>
        <v>-1031</v>
      </c>
      <c r="U165" s="246">
        <f>+O165+VLOOKUP(A165,'Change in Proportion Layers'!$A$8:$V$321,7,FALSE)+1</f>
        <v>-31897</v>
      </c>
      <c r="W165" s="246">
        <f>('OPEB Amounts_Report'!G165-'OPEB Amounts_Report'!M165)</f>
        <v>-145041</v>
      </c>
      <c r="X165" s="282">
        <f>SUM(Q165:U165)-('OPEB Amounts_Report'!G165-'OPEB Amounts_Report'!M165)</f>
        <v>0</v>
      </c>
    </row>
    <row r="166" spans="1:24" s="8" customFormat="1">
      <c r="A166" s="235">
        <v>2425</v>
      </c>
      <c r="B166" s="236" t="s">
        <v>155</v>
      </c>
      <c r="C166" s="245">
        <f t="shared" si="15"/>
        <v>-6175</v>
      </c>
      <c r="D166" s="245">
        <f t="shared" si="16"/>
        <v>301798</v>
      </c>
      <c r="E166" s="245">
        <f t="shared" si="17"/>
        <v>417010</v>
      </c>
      <c r="F166" s="245">
        <f t="shared" si="18"/>
        <v>432734</v>
      </c>
      <c r="G166" s="245">
        <f t="shared" si="19"/>
        <v>15860</v>
      </c>
      <c r="I166" s="51"/>
      <c r="K166" s="156">
        <f>ROUND(VLOOKUP($A166,'Contribution Allocation_Report'!$A$9:$D$310,4,FALSE)*$K$323,0)</f>
        <v>-816769</v>
      </c>
      <c r="L166" s="156">
        <f>ROUND(VLOOKUP($A166,'Contribution Allocation_Report'!$A$9:$D$310,4,FALSE)*$L$323,0)</f>
        <v>-513997</v>
      </c>
      <c r="M166" s="156">
        <f>ROUND(VLOOKUP($A166,'Contribution Allocation_Report'!$A$9:$D$310,4,FALSE)*$M$323,0)</f>
        <v>-292044</v>
      </c>
      <c r="N166" s="156">
        <f>ROUND(VLOOKUP($A166,'Contribution Allocation_Report'!$A$9:$D$310,4,FALSE)*$N$323,0)</f>
        <v>-58072</v>
      </c>
      <c r="O166" s="246">
        <f>ROUND(VLOOKUP($A166,'Contribution Allocation_Report'!$A$9:$D$310,4,FALSE)*$O$323,0)</f>
        <v>-238838</v>
      </c>
      <c r="Q166" s="246">
        <f>+K166+VLOOKUP(A166,'Change in Proportion Layers'!$A$8:$I$321,3,FALSE)+VLOOKUP(A166,'Change in Proportion Layers'!$A$8:$V$321,10,FALSE)+VLOOKUP(A166,'Change in Proportion Layers'!$A$8:$V$321,16,FALSE)+VLOOKUP(A166,'Change in Proportion Layers'!$A$8:$V$321,21,FALSE)</f>
        <v>-6175</v>
      </c>
      <c r="R166" s="246">
        <f>+L166+VLOOKUP(A166,'Change in Proportion Layers'!$A$8:$V$321,4,FALSE)+VLOOKUP(A166,'Change in Proportion Layers'!$A$8:$V$321,11,FALSE)+VLOOKUP(A166,'Change in Proportion Layers'!$A$8:$V$321,17,FALSE)+VLOOKUP(A166,'Change in Proportion Layers'!$A$8:$V$321,22,FALSE)</f>
        <v>301798</v>
      </c>
      <c r="S166" s="246">
        <f>+M166+VLOOKUP(A166,'Change in Proportion Layers'!$A$8:$V$321,5,FALSE)+VLOOKUP(A166,'Change in Proportion Layers'!$A$8:$V$321,12,FALSE)+VLOOKUP(A166,'Change in Proportion Layers'!$A$8:$V$321,18,FALSE)</f>
        <v>417010</v>
      </c>
      <c r="T166" s="246">
        <f>+N166+VLOOKUP(A166,'Change in Proportion Layers'!$A$8:$V$321,6,FALSE)+VLOOKUP(A166,'Change in Proportion Layers'!$A$8:$V$321,13,FALSE)</f>
        <v>432734</v>
      </c>
      <c r="U166" s="246">
        <f>+O166+VLOOKUP(A166,'Change in Proportion Layers'!$A$8:$V$321,7,FALSE)</f>
        <v>15860</v>
      </c>
      <c r="W166" s="246">
        <f>('OPEB Amounts_Report'!G166-'OPEB Amounts_Report'!M166)</f>
        <v>1161227</v>
      </c>
      <c r="X166" s="282">
        <f>SUM(Q166:U166)-('OPEB Amounts_Report'!G166-'OPEB Amounts_Report'!M166)</f>
        <v>0</v>
      </c>
    </row>
    <row r="167" spans="1:24" s="8" customFormat="1">
      <c r="A167" s="237">
        <v>1306</v>
      </c>
      <c r="B167" s="238" t="s">
        <v>156</v>
      </c>
      <c r="C167" s="48">
        <f t="shared" si="15"/>
        <v>-128494</v>
      </c>
      <c r="D167" s="48">
        <f t="shared" si="16"/>
        <v>-56227</v>
      </c>
      <c r="E167" s="48">
        <f t="shared" si="17"/>
        <v>-31191</v>
      </c>
      <c r="F167" s="48">
        <f t="shared" si="18"/>
        <v>14864</v>
      </c>
      <c r="G167" s="48">
        <f t="shared" si="19"/>
        <v>-47944</v>
      </c>
      <c r="I167" s="51"/>
      <c r="K167" s="156">
        <f>ROUND(VLOOKUP($A167,'Contribution Allocation_Report'!$A$9:$D$310,4,FALSE)*$K$323,0)</f>
        <v>-221771</v>
      </c>
      <c r="L167" s="156">
        <f>ROUND(VLOOKUP($A167,'Contribution Allocation_Report'!$A$9:$D$310,4,FALSE)*$L$323,0)</f>
        <v>-139562</v>
      </c>
      <c r="M167" s="156">
        <f>ROUND(VLOOKUP($A167,'Contribution Allocation_Report'!$A$9:$D$310,4,FALSE)*$M$323,0)</f>
        <v>-79296</v>
      </c>
      <c r="N167" s="156">
        <f>ROUND(VLOOKUP($A167,'Contribution Allocation_Report'!$A$9:$D$310,4,FALSE)*$N$323,0)</f>
        <v>-15768</v>
      </c>
      <c r="O167" s="246">
        <f>ROUND(VLOOKUP($A167,'Contribution Allocation_Report'!$A$9:$D$310,4,FALSE)*$O$323,0)</f>
        <v>-64850</v>
      </c>
      <c r="Q167" s="246">
        <f>+K167+VLOOKUP(A167,'Change in Proportion Layers'!$A$8:$I$321,3,FALSE)+VLOOKUP(A167,'Change in Proportion Layers'!$A$8:$V$321,10,FALSE)+VLOOKUP(A167,'Change in Proportion Layers'!$A$8:$V$321,16,FALSE)+VLOOKUP(A167,'Change in Proportion Layers'!$A$8:$V$321,21,FALSE)</f>
        <v>-128494</v>
      </c>
      <c r="R167" s="246">
        <f>+L167+VLOOKUP(A167,'Change in Proportion Layers'!$A$8:$V$321,4,FALSE)+VLOOKUP(A167,'Change in Proportion Layers'!$A$8:$V$321,11,FALSE)+VLOOKUP(A167,'Change in Proportion Layers'!$A$8:$V$321,17,FALSE)+VLOOKUP(A167,'Change in Proportion Layers'!$A$8:$V$321,22,FALSE)</f>
        <v>-56227</v>
      </c>
      <c r="S167" s="246">
        <f>+M167+VLOOKUP(A167,'Change in Proportion Layers'!$A$8:$V$321,5,FALSE)+VLOOKUP(A167,'Change in Proportion Layers'!$A$8:$V$321,12,FALSE)+VLOOKUP(A167,'Change in Proportion Layers'!$A$8:$V$321,18,FALSE)</f>
        <v>-31191</v>
      </c>
      <c r="T167" s="246">
        <f>+N167+VLOOKUP(A167,'Change in Proportion Layers'!$A$8:$V$321,6,FALSE)+VLOOKUP(A167,'Change in Proportion Layers'!$A$8:$V$321,13,FALSE)</f>
        <v>14864</v>
      </c>
      <c r="U167" s="246">
        <f>+O167+VLOOKUP(A167,'Change in Proportion Layers'!$A$8:$V$321,7,FALSE)+1</f>
        <v>-47944</v>
      </c>
      <c r="W167" s="246">
        <f>('OPEB Amounts_Report'!G167-'OPEB Amounts_Report'!M167)</f>
        <v>-248992</v>
      </c>
      <c r="X167" s="282">
        <f>SUM(Q167:U167)-('OPEB Amounts_Report'!G167-'OPEB Amounts_Report'!M167)</f>
        <v>0</v>
      </c>
    </row>
    <row r="168" spans="1:24" s="8" customFormat="1">
      <c r="A168" s="235">
        <v>2351</v>
      </c>
      <c r="B168" s="236" t="s">
        <v>157</v>
      </c>
      <c r="C168" s="245">
        <f t="shared" si="15"/>
        <v>-165082</v>
      </c>
      <c r="D168" s="245">
        <f t="shared" si="16"/>
        <v>-97721</v>
      </c>
      <c r="E168" s="245">
        <f t="shared" si="17"/>
        <v>-44131</v>
      </c>
      <c r="F168" s="245">
        <f t="shared" si="18"/>
        <v>6127</v>
      </c>
      <c r="G168" s="245">
        <f t="shared" si="19"/>
        <v>-56419</v>
      </c>
      <c r="I168" s="51"/>
      <c r="K168" s="156">
        <f>ROUND(VLOOKUP($A168,'Contribution Allocation_Report'!$A$9:$D$310,4,FALSE)*$K$323,0)</f>
        <v>-175832</v>
      </c>
      <c r="L168" s="156">
        <f>ROUND(VLOOKUP($A168,'Contribution Allocation_Report'!$A$9:$D$310,4,FALSE)*$L$323,0)</f>
        <v>-110652</v>
      </c>
      <c r="M168" s="156">
        <f>ROUND(VLOOKUP($A168,'Contribution Allocation_Report'!$A$9:$D$310,4,FALSE)*$M$323,0)</f>
        <v>-62871</v>
      </c>
      <c r="N168" s="156">
        <f>ROUND(VLOOKUP($A168,'Contribution Allocation_Report'!$A$9:$D$310,4,FALSE)*$N$323,0)</f>
        <v>-12502</v>
      </c>
      <c r="O168" s="246">
        <f>ROUND(VLOOKUP($A168,'Contribution Allocation_Report'!$A$9:$D$310,4,FALSE)*$O$323,0)</f>
        <v>-51417</v>
      </c>
      <c r="Q168" s="246">
        <f>+K168+VLOOKUP(A168,'Change in Proportion Layers'!$A$8:$I$321,3,FALSE)+VLOOKUP(A168,'Change in Proportion Layers'!$A$8:$V$321,10,FALSE)+VLOOKUP(A168,'Change in Proportion Layers'!$A$8:$V$321,16,FALSE)+VLOOKUP(A168,'Change in Proportion Layers'!$A$8:$V$321,21,FALSE)</f>
        <v>-165082</v>
      </c>
      <c r="R168" s="246">
        <f>+L168+VLOOKUP(A168,'Change in Proportion Layers'!$A$8:$V$321,4,FALSE)+VLOOKUP(A168,'Change in Proportion Layers'!$A$8:$V$321,11,FALSE)+VLOOKUP(A168,'Change in Proportion Layers'!$A$8:$V$321,17,FALSE)+VLOOKUP(A168,'Change in Proportion Layers'!$A$8:$V$321,22,FALSE)</f>
        <v>-97721</v>
      </c>
      <c r="S168" s="246">
        <f>+M168+VLOOKUP(A168,'Change in Proportion Layers'!$A$8:$V$321,5,FALSE)+VLOOKUP(A168,'Change in Proportion Layers'!$A$8:$V$321,12,FALSE)+VLOOKUP(A168,'Change in Proportion Layers'!$A$8:$V$321,18,FALSE)</f>
        <v>-44131</v>
      </c>
      <c r="T168" s="246">
        <f>+N168+VLOOKUP(A168,'Change in Proportion Layers'!$A$8:$V$321,6,FALSE)+VLOOKUP(A168,'Change in Proportion Layers'!$A$8:$V$321,13,FALSE)</f>
        <v>6127</v>
      </c>
      <c r="U168" s="246">
        <f>+O168+VLOOKUP(A168,'Change in Proportion Layers'!$A$8:$V$321,7,FALSE)</f>
        <v>-56419</v>
      </c>
      <c r="W168" s="246">
        <f>('OPEB Amounts_Report'!G168-'OPEB Amounts_Report'!M168)</f>
        <v>-357226</v>
      </c>
      <c r="X168" s="282">
        <f>SUM(Q168:U168)-('OPEB Amounts_Report'!G168-'OPEB Amounts_Report'!M168)</f>
        <v>0</v>
      </c>
    </row>
    <row r="169" spans="1:24" s="8" customFormat="1">
      <c r="A169" s="237">
        <v>2334</v>
      </c>
      <c r="B169" s="238" t="s">
        <v>158</v>
      </c>
      <c r="C169" s="48">
        <f t="shared" si="15"/>
        <v>-109059</v>
      </c>
      <c r="D169" s="48">
        <f t="shared" si="16"/>
        <v>-62655</v>
      </c>
      <c r="E169" s="48">
        <f t="shared" si="17"/>
        <v>-35956</v>
      </c>
      <c r="F169" s="48">
        <f t="shared" si="18"/>
        <v>-11578</v>
      </c>
      <c r="G169" s="48">
        <f t="shared" si="19"/>
        <v>-45578</v>
      </c>
      <c r="I169" s="51"/>
      <c r="K169" s="156">
        <f>ROUND(VLOOKUP($A169,'Contribution Allocation_Report'!$A$9:$D$310,4,FALSE)*$K$323,0)</f>
        <v>-126284</v>
      </c>
      <c r="L169" s="156">
        <f>ROUND(VLOOKUP($A169,'Contribution Allocation_Report'!$A$9:$D$310,4,FALSE)*$L$323,0)</f>
        <v>-79471</v>
      </c>
      <c r="M169" s="156">
        <f>ROUND(VLOOKUP($A169,'Contribution Allocation_Report'!$A$9:$D$310,4,FALSE)*$M$323,0)</f>
        <v>-45154</v>
      </c>
      <c r="N169" s="156">
        <f>ROUND(VLOOKUP($A169,'Contribution Allocation_Report'!$A$9:$D$310,4,FALSE)*$N$323,0)</f>
        <v>-8979</v>
      </c>
      <c r="O169" s="246">
        <f>ROUND(VLOOKUP($A169,'Contribution Allocation_Report'!$A$9:$D$310,4,FALSE)*$O$323,0)</f>
        <v>-36928</v>
      </c>
      <c r="Q169" s="246">
        <f>+K169+VLOOKUP(A169,'Change in Proportion Layers'!$A$8:$I$321,3,FALSE)+VLOOKUP(A169,'Change in Proportion Layers'!$A$8:$V$321,10,FALSE)+VLOOKUP(A169,'Change in Proportion Layers'!$A$8:$V$321,16,FALSE)+VLOOKUP(A169,'Change in Proportion Layers'!$A$8:$V$321,21,FALSE)</f>
        <v>-109059</v>
      </c>
      <c r="R169" s="246">
        <f>+L169+VLOOKUP(A169,'Change in Proportion Layers'!$A$8:$V$321,4,FALSE)+VLOOKUP(A169,'Change in Proportion Layers'!$A$8:$V$321,11,FALSE)+VLOOKUP(A169,'Change in Proportion Layers'!$A$8:$V$321,17,FALSE)+VLOOKUP(A169,'Change in Proportion Layers'!$A$8:$V$321,22,FALSE)</f>
        <v>-62655</v>
      </c>
      <c r="S169" s="246">
        <f>+M169+VLOOKUP(A169,'Change in Proportion Layers'!$A$8:$V$321,5,FALSE)+VLOOKUP(A169,'Change in Proportion Layers'!$A$8:$V$321,12,FALSE)+VLOOKUP(A169,'Change in Proportion Layers'!$A$8:$V$321,18,FALSE)</f>
        <v>-35956</v>
      </c>
      <c r="T169" s="246">
        <f>+N169+VLOOKUP(A169,'Change in Proportion Layers'!$A$8:$V$321,6,FALSE)+VLOOKUP(A169,'Change in Proportion Layers'!$A$8:$V$321,13,FALSE)</f>
        <v>-11578</v>
      </c>
      <c r="U169" s="246">
        <f>+O169+VLOOKUP(A169,'Change in Proportion Layers'!$A$8:$V$321,7,FALSE)+1</f>
        <v>-45578</v>
      </c>
      <c r="W169" s="246">
        <f>('OPEB Amounts_Report'!G169-'OPEB Amounts_Report'!M169)</f>
        <v>-264826</v>
      </c>
      <c r="X169" s="282">
        <f>SUM(Q169:U169)-('OPEB Amounts_Report'!G169-'OPEB Amounts_Report'!M169)</f>
        <v>0</v>
      </c>
    </row>
    <row r="170" spans="1:24" s="8" customFormat="1">
      <c r="A170" s="235">
        <v>30089</v>
      </c>
      <c r="B170" s="236" t="s">
        <v>159</v>
      </c>
      <c r="C170" s="245">
        <f t="shared" si="15"/>
        <v>-431758</v>
      </c>
      <c r="D170" s="245">
        <f t="shared" si="16"/>
        <v>-286876</v>
      </c>
      <c r="E170" s="245">
        <f t="shared" si="17"/>
        <v>-186069</v>
      </c>
      <c r="F170" s="245">
        <f t="shared" si="18"/>
        <v>-91472</v>
      </c>
      <c r="G170" s="245">
        <f t="shared" si="19"/>
        <v>-130210</v>
      </c>
      <c r="I170" s="51"/>
      <c r="K170" s="156">
        <f>ROUND(VLOOKUP($A170,'Contribution Allocation_Report'!$A$9:$D$310,4,FALSE)*$K$323,0)</f>
        <v>-385040</v>
      </c>
      <c r="L170" s="156">
        <f>ROUND(VLOOKUP($A170,'Contribution Allocation_Report'!$A$9:$D$310,4,FALSE)*$L$323,0)</f>
        <v>-242308</v>
      </c>
      <c r="M170" s="156">
        <f>ROUND(VLOOKUP($A170,'Contribution Allocation_Report'!$A$9:$D$310,4,FALSE)*$M$323,0)</f>
        <v>-137675</v>
      </c>
      <c r="N170" s="156">
        <f>ROUND(VLOOKUP($A170,'Contribution Allocation_Report'!$A$9:$D$310,4,FALSE)*$N$323,0)</f>
        <v>-27376</v>
      </c>
      <c r="O170" s="246">
        <f>ROUND(VLOOKUP($A170,'Contribution Allocation_Report'!$A$9:$D$310,4,FALSE)*$O$323,0)</f>
        <v>-112593</v>
      </c>
      <c r="Q170" s="246">
        <f>+K170+VLOOKUP(A170,'Change in Proportion Layers'!$A$8:$I$321,3,FALSE)+VLOOKUP(A170,'Change in Proportion Layers'!$A$8:$V$321,10,FALSE)+VLOOKUP(A170,'Change in Proportion Layers'!$A$8:$V$321,16,FALSE)+VLOOKUP(A170,'Change in Proportion Layers'!$A$8:$V$321,21,FALSE)</f>
        <v>-431758</v>
      </c>
      <c r="R170" s="246">
        <f>+L170+VLOOKUP(A170,'Change in Proportion Layers'!$A$8:$V$321,4,FALSE)+VLOOKUP(A170,'Change in Proportion Layers'!$A$8:$V$321,11,FALSE)+VLOOKUP(A170,'Change in Proportion Layers'!$A$8:$V$321,17,FALSE)+VLOOKUP(A170,'Change in Proportion Layers'!$A$8:$V$321,22,FALSE)</f>
        <v>-286876</v>
      </c>
      <c r="S170" s="246">
        <f>+M170+VLOOKUP(A170,'Change in Proportion Layers'!$A$8:$V$321,5,FALSE)+VLOOKUP(A170,'Change in Proportion Layers'!$A$8:$V$321,12,FALSE)+VLOOKUP(A170,'Change in Proportion Layers'!$A$8:$V$321,18,FALSE)</f>
        <v>-186069</v>
      </c>
      <c r="T170" s="246">
        <f>+N170+VLOOKUP(A170,'Change in Proportion Layers'!$A$8:$V$321,6,FALSE)+VLOOKUP(A170,'Change in Proportion Layers'!$A$8:$V$321,13,FALSE)</f>
        <v>-91472</v>
      </c>
      <c r="U170" s="246">
        <f>+O170+VLOOKUP(A170,'Change in Proportion Layers'!$A$8:$V$321,7,FALSE)+1</f>
        <v>-130210</v>
      </c>
      <c r="W170" s="246">
        <f>('OPEB Amounts_Report'!G170-'OPEB Amounts_Report'!M170)</f>
        <v>-1126385</v>
      </c>
      <c r="X170" s="282">
        <f>SUM(Q170:U170)-('OPEB Amounts_Report'!G170-'OPEB Amounts_Report'!M170)</f>
        <v>0</v>
      </c>
    </row>
    <row r="171" spans="1:24" s="8" customFormat="1">
      <c r="A171" s="237">
        <v>9324</v>
      </c>
      <c r="B171" s="238" t="s">
        <v>160</v>
      </c>
      <c r="C171" s="48">
        <f t="shared" si="15"/>
        <v>-37935</v>
      </c>
      <c r="D171" s="48">
        <f t="shared" si="16"/>
        <v>-14284</v>
      </c>
      <c r="E171" s="48">
        <f t="shared" si="17"/>
        <v>5010</v>
      </c>
      <c r="F171" s="48">
        <f t="shared" si="18"/>
        <v>14254</v>
      </c>
      <c r="G171" s="48">
        <f t="shared" si="19"/>
        <v>-12859</v>
      </c>
      <c r="I171" s="51"/>
      <c r="K171" s="156">
        <f>ROUND(VLOOKUP($A171,'Contribution Allocation_Report'!$A$9:$D$310,4,FALSE)*$K$323,0)</f>
        <v>-55642</v>
      </c>
      <c r="L171" s="156">
        <f>ROUND(VLOOKUP($A171,'Contribution Allocation_Report'!$A$9:$D$310,4,FALSE)*$L$323,0)</f>
        <v>-35016</v>
      </c>
      <c r="M171" s="156">
        <f>ROUND(VLOOKUP($A171,'Contribution Allocation_Report'!$A$9:$D$310,4,FALSE)*$M$323,0)</f>
        <v>-19895</v>
      </c>
      <c r="N171" s="156">
        <f>ROUND(VLOOKUP($A171,'Contribution Allocation_Report'!$A$9:$D$310,4,FALSE)*$N$323,0)</f>
        <v>-3956</v>
      </c>
      <c r="O171" s="246">
        <f>ROUND(VLOOKUP($A171,'Contribution Allocation_Report'!$A$9:$D$310,4,FALSE)*$O$323,0)</f>
        <v>-16271</v>
      </c>
      <c r="Q171" s="246">
        <f>+K171+VLOOKUP(A171,'Change in Proportion Layers'!$A$8:$I$321,3,FALSE)+VLOOKUP(A171,'Change in Proportion Layers'!$A$8:$V$321,10,FALSE)+VLOOKUP(A171,'Change in Proportion Layers'!$A$8:$V$321,16,FALSE)+VLOOKUP(A171,'Change in Proportion Layers'!$A$8:$V$321,21,FALSE)</f>
        <v>-37935</v>
      </c>
      <c r="R171" s="246">
        <f>+L171+VLOOKUP(A171,'Change in Proportion Layers'!$A$8:$V$321,4,FALSE)+VLOOKUP(A171,'Change in Proportion Layers'!$A$8:$V$321,11,FALSE)+VLOOKUP(A171,'Change in Proportion Layers'!$A$8:$V$321,17,FALSE)+VLOOKUP(A171,'Change in Proportion Layers'!$A$8:$V$321,22,FALSE)</f>
        <v>-14284</v>
      </c>
      <c r="S171" s="246">
        <f>+M171+VLOOKUP(A171,'Change in Proportion Layers'!$A$8:$V$321,5,FALSE)+VLOOKUP(A171,'Change in Proportion Layers'!$A$8:$V$321,12,FALSE)+VLOOKUP(A171,'Change in Proportion Layers'!$A$8:$V$321,18,FALSE)</f>
        <v>5010</v>
      </c>
      <c r="T171" s="246">
        <f>+N171+VLOOKUP(A171,'Change in Proportion Layers'!$A$8:$V$321,6,FALSE)+VLOOKUP(A171,'Change in Proportion Layers'!$A$8:$V$321,13,FALSE)</f>
        <v>14254</v>
      </c>
      <c r="U171" s="246">
        <f>+O171+VLOOKUP(A171,'Change in Proportion Layers'!$A$8:$V$321,7,FALSE)+1</f>
        <v>-12859</v>
      </c>
      <c r="W171" s="246">
        <f>('OPEB Amounts_Report'!G171-'OPEB Amounts_Report'!M171)</f>
        <v>-45814</v>
      </c>
      <c r="X171" s="282">
        <f>SUM(Q171:U171)-('OPEB Amounts_Report'!G171-'OPEB Amounts_Report'!M171)</f>
        <v>0</v>
      </c>
    </row>
    <row r="172" spans="1:24" s="8" customFormat="1">
      <c r="A172" s="235">
        <v>22066</v>
      </c>
      <c r="B172" s="236" t="s">
        <v>161</v>
      </c>
      <c r="C172" s="245">
        <f t="shared" si="15"/>
        <v>-1519343</v>
      </c>
      <c r="D172" s="245">
        <f t="shared" si="16"/>
        <v>-954020</v>
      </c>
      <c r="E172" s="245">
        <f t="shared" si="17"/>
        <v>-469398</v>
      </c>
      <c r="F172" s="245">
        <f t="shared" si="18"/>
        <v>29976</v>
      </c>
      <c r="G172" s="245">
        <f t="shared" si="19"/>
        <v>-343323</v>
      </c>
      <c r="I172" s="51"/>
      <c r="K172" s="156">
        <f>ROUND(VLOOKUP($A172,'Contribution Allocation_Report'!$A$9:$D$310,4,FALSE)*$K$323,0)</f>
        <v>-1484049</v>
      </c>
      <c r="L172" s="156">
        <f>ROUND(VLOOKUP($A172,'Contribution Allocation_Report'!$A$9:$D$310,4,FALSE)*$L$323,0)</f>
        <v>-933921</v>
      </c>
      <c r="M172" s="156">
        <f>ROUND(VLOOKUP($A172,'Contribution Allocation_Report'!$A$9:$D$310,4,FALSE)*$M$323,0)</f>
        <v>-530637</v>
      </c>
      <c r="N172" s="156">
        <f>ROUND(VLOOKUP($A172,'Contribution Allocation_Report'!$A$9:$D$310,4,FALSE)*$N$323,0)</f>
        <v>-105516</v>
      </c>
      <c r="O172" s="246">
        <f>ROUND(VLOOKUP($A172,'Contribution Allocation_Report'!$A$9:$D$310,4,FALSE)*$O$323,0)</f>
        <v>-433963</v>
      </c>
      <c r="Q172" s="246">
        <f>+K172+VLOOKUP(A172,'Change in Proportion Layers'!$A$8:$I$321,3,FALSE)+VLOOKUP(A172,'Change in Proportion Layers'!$A$8:$V$321,10,FALSE)+VLOOKUP(A172,'Change in Proportion Layers'!$A$8:$V$321,16,FALSE)+VLOOKUP(A172,'Change in Proportion Layers'!$A$8:$V$321,21,FALSE)</f>
        <v>-1519343</v>
      </c>
      <c r="R172" s="246">
        <f>+L172+VLOOKUP(A172,'Change in Proportion Layers'!$A$8:$V$321,4,FALSE)+VLOOKUP(A172,'Change in Proportion Layers'!$A$8:$V$321,11,FALSE)+VLOOKUP(A172,'Change in Proportion Layers'!$A$8:$V$321,17,FALSE)+VLOOKUP(A172,'Change in Proportion Layers'!$A$8:$V$321,22,FALSE)</f>
        <v>-954020</v>
      </c>
      <c r="S172" s="246">
        <f>+M172+VLOOKUP(A172,'Change in Proportion Layers'!$A$8:$V$321,5,FALSE)+VLOOKUP(A172,'Change in Proportion Layers'!$A$8:$V$321,12,FALSE)+VLOOKUP(A172,'Change in Proportion Layers'!$A$8:$V$321,18,FALSE)</f>
        <v>-469398</v>
      </c>
      <c r="T172" s="246">
        <f>+N172+VLOOKUP(A172,'Change in Proportion Layers'!$A$8:$V$321,6,FALSE)+VLOOKUP(A172,'Change in Proportion Layers'!$A$8:$V$321,13,FALSE)</f>
        <v>29976</v>
      </c>
      <c r="U172" s="246">
        <f>+O172+VLOOKUP(A172,'Change in Proportion Layers'!$A$8:$V$321,7,FALSE)</f>
        <v>-343323</v>
      </c>
      <c r="W172" s="246">
        <f>('OPEB Amounts_Report'!G172-'OPEB Amounts_Report'!M172)</f>
        <v>-3256108</v>
      </c>
      <c r="X172" s="282">
        <f>SUM(Q172:U172)-('OPEB Amounts_Report'!G172-'OPEB Amounts_Report'!M172)</f>
        <v>0</v>
      </c>
    </row>
    <row r="173" spans="1:24" s="8" customFormat="1">
      <c r="A173" s="237">
        <v>16356</v>
      </c>
      <c r="B173" s="238" t="s">
        <v>162</v>
      </c>
      <c r="C173" s="48">
        <f t="shared" si="15"/>
        <v>-78492</v>
      </c>
      <c r="D173" s="48">
        <f t="shared" si="16"/>
        <v>-46432</v>
      </c>
      <c r="E173" s="48">
        <f t="shared" si="17"/>
        <v>-22615</v>
      </c>
      <c r="F173" s="48">
        <f t="shared" si="18"/>
        <v>11491</v>
      </c>
      <c r="G173" s="48">
        <f t="shared" si="19"/>
        <v>-15759</v>
      </c>
      <c r="I173" s="51"/>
      <c r="K173" s="156">
        <f>ROUND(VLOOKUP($A173,'Contribution Allocation_Report'!$A$9:$D$310,4,FALSE)*$K$323,0)</f>
        <v>-92440</v>
      </c>
      <c r="L173" s="156">
        <f>ROUND(VLOOKUP($A173,'Contribution Allocation_Report'!$A$9:$D$310,4,FALSE)*$L$323,0)</f>
        <v>-58173</v>
      </c>
      <c r="M173" s="156">
        <f>ROUND(VLOOKUP($A173,'Contribution Allocation_Report'!$A$9:$D$310,4,FALSE)*$M$323,0)</f>
        <v>-33053</v>
      </c>
      <c r="N173" s="156">
        <f>ROUND(VLOOKUP($A173,'Contribution Allocation_Report'!$A$9:$D$310,4,FALSE)*$N$323,0)</f>
        <v>-6572</v>
      </c>
      <c r="O173" s="246">
        <f>ROUND(VLOOKUP($A173,'Contribution Allocation_Report'!$A$9:$D$310,4,FALSE)*$O$323,0)</f>
        <v>-27031</v>
      </c>
      <c r="Q173" s="246">
        <f>+K173+VLOOKUP(A173,'Change in Proportion Layers'!$A$8:$I$321,3,FALSE)+VLOOKUP(A173,'Change in Proportion Layers'!$A$8:$V$321,10,FALSE)+VLOOKUP(A173,'Change in Proportion Layers'!$A$8:$V$321,16,FALSE)+VLOOKUP(A173,'Change in Proportion Layers'!$A$8:$V$321,21,FALSE)</f>
        <v>-78492</v>
      </c>
      <c r="R173" s="246">
        <f>+L173+VLOOKUP(A173,'Change in Proportion Layers'!$A$8:$V$321,4,FALSE)+VLOOKUP(A173,'Change in Proportion Layers'!$A$8:$V$321,11,FALSE)+VLOOKUP(A173,'Change in Proportion Layers'!$A$8:$V$321,17,FALSE)+VLOOKUP(A173,'Change in Proportion Layers'!$A$8:$V$321,22,FALSE)</f>
        <v>-46432</v>
      </c>
      <c r="S173" s="246">
        <f>+M173+VLOOKUP(A173,'Change in Proportion Layers'!$A$8:$V$321,5,FALSE)+VLOOKUP(A173,'Change in Proportion Layers'!$A$8:$V$321,12,FALSE)+VLOOKUP(A173,'Change in Proportion Layers'!$A$8:$V$321,18,FALSE)</f>
        <v>-22615</v>
      </c>
      <c r="T173" s="246">
        <f>+N173+VLOOKUP(A173,'Change in Proportion Layers'!$A$8:$V$321,6,FALSE)+VLOOKUP(A173,'Change in Proportion Layers'!$A$8:$V$321,13,FALSE)</f>
        <v>11491</v>
      </c>
      <c r="U173" s="246">
        <f>+O173+VLOOKUP(A173,'Change in Proportion Layers'!$A$8:$V$321,7,FALSE)</f>
        <v>-15759</v>
      </c>
      <c r="W173" s="246">
        <f>('OPEB Amounts_Report'!G173-'OPEB Amounts_Report'!M173)</f>
        <v>-151807</v>
      </c>
      <c r="X173" s="282">
        <f>SUM(Q173:U173)-('OPEB Amounts_Report'!G173-'OPEB Amounts_Report'!M173)</f>
        <v>0</v>
      </c>
    </row>
    <row r="174" spans="1:24" s="8" customFormat="1">
      <c r="A174" s="235">
        <v>31091</v>
      </c>
      <c r="B174" s="236" t="s">
        <v>163</v>
      </c>
      <c r="C174" s="245">
        <f t="shared" si="15"/>
        <v>-74933</v>
      </c>
      <c r="D174" s="245">
        <f t="shared" si="16"/>
        <v>-36906</v>
      </c>
      <c r="E174" s="245">
        <f t="shared" si="17"/>
        <v>-3589</v>
      </c>
      <c r="F174" s="245">
        <f t="shared" si="18"/>
        <v>13702</v>
      </c>
      <c r="G174" s="245">
        <f t="shared" si="19"/>
        <v>5807</v>
      </c>
      <c r="I174" s="51"/>
      <c r="K174" s="156">
        <f>ROUND(VLOOKUP($A174,'Contribution Allocation_Report'!$A$9:$D$310,4,FALSE)*$K$323,0)</f>
        <v>-87893</v>
      </c>
      <c r="L174" s="156">
        <f>ROUND(VLOOKUP($A174,'Contribution Allocation_Report'!$A$9:$D$310,4,FALSE)*$L$323,0)</f>
        <v>-55311</v>
      </c>
      <c r="M174" s="156">
        <f>ROUND(VLOOKUP($A174,'Contribution Allocation_Report'!$A$9:$D$310,4,FALSE)*$M$323,0)</f>
        <v>-31427</v>
      </c>
      <c r="N174" s="156">
        <f>ROUND(VLOOKUP($A174,'Contribution Allocation_Report'!$A$9:$D$310,4,FALSE)*$N$323,0)</f>
        <v>-6249</v>
      </c>
      <c r="O174" s="246">
        <f>ROUND(VLOOKUP($A174,'Contribution Allocation_Report'!$A$9:$D$310,4,FALSE)*$O$323,0)</f>
        <v>-25701</v>
      </c>
      <c r="Q174" s="246">
        <f>+K174+VLOOKUP(A174,'Change in Proportion Layers'!$A$8:$I$321,3,FALSE)+VLOOKUP(A174,'Change in Proportion Layers'!$A$8:$V$321,10,FALSE)+VLOOKUP(A174,'Change in Proportion Layers'!$A$8:$V$321,16,FALSE)+VLOOKUP(A174,'Change in Proportion Layers'!$A$8:$V$321,21,FALSE)</f>
        <v>-74933</v>
      </c>
      <c r="R174" s="246">
        <f>+L174+VLOOKUP(A174,'Change in Proportion Layers'!$A$8:$V$321,4,FALSE)+VLOOKUP(A174,'Change in Proportion Layers'!$A$8:$V$321,11,FALSE)+VLOOKUP(A174,'Change in Proportion Layers'!$A$8:$V$321,17,FALSE)+VLOOKUP(A174,'Change in Proportion Layers'!$A$8:$V$321,22,FALSE)</f>
        <v>-36906</v>
      </c>
      <c r="S174" s="246">
        <f>+M174+VLOOKUP(A174,'Change in Proportion Layers'!$A$8:$V$321,5,FALSE)+VLOOKUP(A174,'Change in Proportion Layers'!$A$8:$V$321,12,FALSE)+VLOOKUP(A174,'Change in Proportion Layers'!$A$8:$V$321,18,FALSE)</f>
        <v>-3589</v>
      </c>
      <c r="T174" s="246">
        <f>+N174+VLOOKUP(A174,'Change in Proportion Layers'!$A$8:$V$321,6,FALSE)+VLOOKUP(A174,'Change in Proportion Layers'!$A$8:$V$321,13,FALSE)</f>
        <v>13702</v>
      </c>
      <c r="U174" s="246">
        <f>+O174+VLOOKUP(A174,'Change in Proportion Layers'!$A$8:$V$321,7,FALSE)-1</f>
        <v>5807</v>
      </c>
      <c r="W174" s="246">
        <f>('OPEB Amounts_Report'!G174-'OPEB Amounts_Report'!M174)</f>
        <v>-95919</v>
      </c>
      <c r="X174" s="282">
        <f>SUM(Q174:U174)-('OPEB Amounts_Report'!G174-'OPEB Amounts_Report'!M174)</f>
        <v>0</v>
      </c>
    </row>
    <row r="175" spans="1:24" s="8" customFormat="1">
      <c r="A175" s="237">
        <v>2342</v>
      </c>
      <c r="B175" s="238" t="s">
        <v>164</v>
      </c>
      <c r="C175" s="48">
        <f t="shared" si="15"/>
        <v>-92360</v>
      </c>
      <c r="D175" s="48">
        <f t="shared" si="16"/>
        <v>-40895</v>
      </c>
      <c r="E175" s="48">
        <f t="shared" si="17"/>
        <v>-4274</v>
      </c>
      <c r="F175" s="48">
        <f t="shared" si="18"/>
        <v>34779</v>
      </c>
      <c r="G175" s="48">
        <f t="shared" si="19"/>
        <v>-5793</v>
      </c>
      <c r="I175" s="51"/>
      <c r="K175" s="156">
        <f>ROUND(VLOOKUP($A175,'Contribution Allocation_Report'!$A$9:$D$310,4,FALSE)*$K$323,0)</f>
        <v>-139784</v>
      </c>
      <c r="L175" s="156">
        <f>ROUND(VLOOKUP($A175,'Contribution Allocation_Report'!$A$9:$D$310,4,FALSE)*$L$323,0)</f>
        <v>-87967</v>
      </c>
      <c r="M175" s="156">
        <f>ROUND(VLOOKUP($A175,'Contribution Allocation_Report'!$A$9:$D$310,4,FALSE)*$M$323,0)</f>
        <v>-49981</v>
      </c>
      <c r="N175" s="156">
        <f>ROUND(VLOOKUP($A175,'Contribution Allocation_Report'!$A$9:$D$310,4,FALSE)*$N$323,0)</f>
        <v>-9939</v>
      </c>
      <c r="O175" s="246">
        <f>ROUND(VLOOKUP($A175,'Contribution Allocation_Report'!$A$9:$D$310,4,FALSE)*$O$323,0)</f>
        <v>-40876</v>
      </c>
      <c r="Q175" s="246">
        <f>+K175+VLOOKUP(A175,'Change in Proportion Layers'!$A$8:$I$321,3,FALSE)+VLOOKUP(A175,'Change in Proportion Layers'!$A$8:$V$321,10,FALSE)+VLOOKUP(A175,'Change in Proportion Layers'!$A$8:$V$321,16,FALSE)+VLOOKUP(A175,'Change in Proportion Layers'!$A$8:$V$321,21,FALSE)</f>
        <v>-92360</v>
      </c>
      <c r="R175" s="246">
        <f>+L175+VLOOKUP(A175,'Change in Proportion Layers'!$A$8:$V$321,4,FALSE)+VLOOKUP(A175,'Change in Proportion Layers'!$A$8:$V$321,11,FALSE)+VLOOKUP(A175,'Change in Proportion Layers'!$A$8:$V$321,17,FALSE)+VLOOKUP(A175,'Change in Proportion Layers'!$A$8:$V$321,22,FALSE)</f>
        <v>-40895</v>
      </c>
      <c r="S175" s="246">
        <f>+M175+VLOOKUP(A175,'Change in Proportion Layers'!$A$8:$V$321,5,FALSE)+VLOOKUP(A175,'Change in Proportion Layers'!$A$8:$V$321,12,FALSE)+VLOOKUP(A175,'Change in Proportion Layers'!$A$8:$V$321,18,FALSE)</f>
        <v>-4274</v>
      </c>
      <c r="T175" s="246">
        <f>+N175+VLOOKUP(A175,'Change in Proportion Layers'!$A$8:$V$321,6,FALSE)+VLOOKUP(A175,'Change in Proportion Layers'!$A$8:$V$321,13,FALSE)</f>
        <v>34779</v>
      </c>
      <c r="U175" s="246">
        <f>+O175+VLOOKUP(A175,'Change in Proportion Layers'!$A$8:$V$321,7,FALSE)</f>
        <v>-5793</v>
      </c>
      <c r="W175" s="246">
        <f>('OPEB Amounts_Report'!G175-'OPEB Amounts_Report'!M175)</f>
        <v>-108543</v>
      </c>
      <c r="X175" s="282">
        <f>SUM(Q175:U175)-('OPEB Amounts_Report'!G175-'OPEB Amounts_Report'!M175)</f>
        <v>0</v>
      </c>
    </row>
    <row r="176" spans="1:24" s="8" customFormat="1">
      <c r="A176" s="235">
        <v>22067</v>
      </c>
      <c r="B176" s="236" t="s">
        <v>165</v>
      </c>
      <c r="C176" s="245">
        <f t="shared" si="15"/>
        <v>-190990</v>
      </c>
      <c r="D176" s="245">
        <f t="shared" si="16"/>
        <v>-118507</v>
      </c>
      <c r="E176" s="245">
        <f t="shared" si="17"/>
        <v>-55742</v>
      </c>
      <c r="F176" s="245">
        <f t="shared" si="18"/>
        <v>32342</v>
      </c>
      <c r="G176" s="245">
        <f t="shared" si="19"/>
        <v>-104832</v>
      </c>
      <c r="I176" s="51"/>
      <c r="K176" s="156">
        <f>ROUND(VLOOKUP($A176,'Contribution Allocation_Report'!$A$9:$D$310,4,FALSE)*$K$323,0)</f>
        <v>-206770</v>
      </c>
      <c r="L176" s="156">
        <f>ROUND(VLOOKUP($A176,'Contribution Allocation_Report'!$A$9:$D$310,4,FALSE)*$L$323,0)</f>
        <v>-130122</v>
      </c>
      <c r="M176" s="156">
        <f>ROUND(VLOOKUP($A176,'Contribution Allocation_Report'!$A$9:$D$310,4,FALSE)*$M$323,0)</f>
        <v>-73933</v>
      </c>
      <c r="N176" s="156">
        <f>ROUND(VLOOKUP($A176,'Contribution Allocation_Report'!$A$9:$D$310,4,FALSE)*$N$323,0)</f>
        <v>-14701</v>
      </c>
      <c r="O176" s="246">
        <f>ROUND(VLOOKUP($A176,'Contribution Allocation_Report'!$A$9:$D$310,4,FALSE)*$O$323,0)</f>
        <v>-60463</v>
      </c>
      <c r="Q176" s="246">
        <f>+K176+VLOOKUP(A176,'Change in Proportion Layers'!$A$8:$I$321,3,FALSE)+VLOOKUP(A176,'Change in Proportion Layers'!$A$8:$V$321,10,FALSE)+VLOOKUP(A176,'Change in Proportion Layers'!$A$8:$V$321,16,FALSE)+VLOOKUP(A176,'Change in Proportion Layers'!$A$8:$V$321,21,FALSE)</f>
        <v>-190990</v>
      </c>
      <c r="R176" s="246">
        <f>+L176+VLOOKUP(A176,'Change in Proportion Layers'!$A$8:$V$321,4,FALSE)+VLOOKUP(A176,'Change in Proportion Layers'!$A$8:$V$321,11,FALSE)+VLOOKUP(A176,'Change in Proportion Layers'!$A$8:$V$321,17,FALSE)+VLOOKUP(A176,'Change in Proportion Layers'!$A$8:$V$321,22,FALSE)</f>
        <v>-118507</v>
      </c>
      <c r="S176" s="246">
        <f>+M176+VLOOKUP(A176,'Change in Proportion Layers'!$A$8:$V$321,5,FALSE)+VLOOKUP(A176,'Change in Proportion Layers'!$A$8:$V$321,12,FALSE)+VLOOKUP(A176,'Change in Proportion Layers'!$A$8:$V$321,18,FALSE)</f>
        <v>-55742</v>
      </c>
      <c r="T176" s="246">
        <f>+N176+VLOOKUP(A176,'Change in Proportion Layers'!$A$8:$V$321,6,FALSE)+VLOOKUP(A176,'Change in Proportion Layers'!$A$8:$V$321,13,FALSE)</f>
        <v>32342</v>
      </c>
      <c r="U176" s="246">
        <f>+O176+VLOOKUP(A176,'Change in Proportion Layers'!$A$8:$V$321,7,FALSE)-1</f>
        <v>-104832</v>
      </c>
      <c r="W176" s="246">
        <f>('OPEB Amounts_Report'!G176-'OPEB Amounts_Report'!M176)</f>
        <v>-437729</v>
      </c>
      <c r="X176" s="282">
        <f>SUM(Q176:U176)-('OPEB Amounts_Report'!G176-'OPEB Amounts_Report'!M176)</f>
        <v>0</v>
      </c>
    </row>
    <row r="177" spans="1:24" s="8" customFormat="1">
      <c r="A177" s="237">
        <v>32112</v>
      </c>
      <c r="B177" s="238" t="s">
        <v>166</v>
      </c>
      <c r="C177" s="48">
        <f t="shared" si="15"/>
        <v>-140390</v>
      </c>
      <c r="D177" s="48">
        <f t="shared" si="16"/>
        <v>-90967</v>
      </c>
      <c r="E177" s="48">
        <f t="shared" si="17"/>
        <v>-45798</v>
      </c>
      <c r="F177" s="48">
        <f t="shared" si="18"/>
        <v>-8244</v>
      </c>
      <c r="G177" s="48">
        <f t="shared" si="19"/>
        <v>-25645</v>
      </c>
      <c r="I177" s="51"/>
      <c r="K177" s="156">
        <f>ROUND(VLOOKUP($A177,'Contribution Allocation_Report'!$A$9:$D$310,4,FALSE)*$K$323,0)</f>
        <v>-122159</v>
      </c>
      <c r="L177" s="156">
        <f>ROUND(VLOOKUP($A177,'Contribution Allocation_Report'!$A$9:$D$310,4,FALSE)*$L$323,0)</f>
        <v>-76875</v>
      </c>
      <c r="M177" s="156">
        <f>ROUND(VLOOKUP($A177,'Contribution Allocation_Report'!$A$9:$D$310,4,FALSE)*$M$323,0)</f>
        <v>-43679</v>
      </c>
      <c r="N177" s="156">
        <f>ROUND(VLOOKUP($A177,'Contribution Allocation_Report'!$A$9:$D$310,4,FALSE)*$N$323,0)</f>
        <v>-8686</v>
      </c>
      <c r="O177" s="246">
        <f>ROUND(VLOOKUP($A177,'Contribution Allocation_Report'!$A$9:$D$310,4,FALSE)*$O$323,0)</f>
        <v>-35722</v>
      </c>
      <c r="Q177" s="246">
        <f>+K177+VLOOKUP(A177,'Change in Proportion Layers'!$A$8:$I$321,3,FALSE)+VLOOKUP(A177,'Change in Proportion Layers'!$A$8:$V$321,10,FALSE)+VLOOKUP(A177,'Change in Proportion Layers'!$A$8:$V$321,16,FALSE)+VLOOKUP(A177,'Change in Proportion Layers'!$A$8:$V$321,21,FALSE)</f>
        <v>-140390</v>
      </c>
      <c r="R177" s="246">
        <f>+L177+VLOOKUP(A177,'Change in Proportion Layers'!$A$8:$V$321,4,FALSE)+VLOOKUP(A177,'Change in Proportion Layers'!$A$8:$V$321,11,FALSE)+VLOOKUP(A177,'Change in Proportion Layers'!$A$8:$V$321,17,FALSE)+VLOOKUP(A177,'Change in Proportion Layers'!$A$8:$V$321,22,FALSE)</f>
        <v>-90967</v>
      </c>
      <c r="S177" s="246">
        <f>+M177+VLOOKUP(A177,'Change in Proportion Layers'!$A$8:$V$321,5,FALSE)+VLOOKUP(A177,'Change in Proportion Layers'!$A$8:$V$321,12,FALSE)+VLOOKUP(A177,'Change in Proportion Layers'!$A$8:$V$321,18,FALSE)</f>
        <v>-45798</v>
      </c>
      <c r="T177" s="246">
        <f>+N177+VLOOKUP(A177,'Change in Proportion Layers'!$A$8:$V$321,6,FALSE)+VLOOKUP(A177,'Change in Proportion Layers'!$A$8:$V$321,13,FALSE)</f>
        <v>-8244</v>
      </c>
      <c r="U177" s="246">
        <f>+O177+VLOOKUP(A177,'Change in Proportion Layers'!$A$8:$V$321,7,FALSE)-1</f>
        <v>-25645</v>
      </c>
      <c r="W177" s="246">
        <f>('OPEB Amounts_Report'!G177-'OPEB Amounts_Report'!M177)</f>
        <v>-311044</v>
      </c>
      <c r="X177" s="282">
        <f>SUM(Q177:U177)-('OPEB Amounts_Report'!G177-'OPEB Amounts_Report'!M177)</f>
        <v>0</v>
      </c>
    </row>
    <row r="178" spans="1:24" s="8" customFormat="1">
      <c r="A178" s="235">
        <v>2354</v>
      </c>
      <c r="B178" s="236" t="s">
        <v>167</v>
      </c>
      <c r="C178" s="245">
        <f t="shared" si="15"/>
        <v>-283945</v>
      </c>
      <c r="D178" s="245">
        <f t="shared" si="16"/>
        <v>-174683</v>
      </c>
      <c r="E178" s="245">
        <f t="shared" si="17"/>
        <v>-114667</v>
      </c>
      <c r="F178" s="245">
        <f t="shared" si="18"/>
        <v>-30058</v>
      </c>
      <c r="G178" s="245">
        <f t="shared" si="19"/>
        <v>-95310</v>
      </c>
      <c r="I178" s="51"/>
      <c r="K178" s="156">
        <f>ROUND(VLOOKUP($A178,'Contribution Allocation_Report'!$A$9:$D$310,4,FALSE)*$K$323,0)</f>
        <v>-318617</v>
      </c>
      <c r="L178" s="156">
        <f>ROUND(VLOOKUP($A178,'Contribution Allocation_Report'!$A$9:$D$310,4,FALSE)*$L$323,0)</f>
        <v>-200507</v>
      </c>
      <c r="M178" s="156">
        <f>ROUND(VLOOKUP($A178,'Contribution Allocation_Report'!$A$9:$D$310,4,FALSE)*$M$323,0)</f>
        <v>-113925</v>
      </c>
      <c r="N178" s="156">
        <f>ROUND(VLOOKUP($A178,'Contribution Allocation_Report'!$A$9:$D$310,4,FALSE)*$N$323,0)</f>
        <v>-22654</v>
      </c>
      <c r="O178" s="246">
        <f>ROUND(VLOOKUP($A178,'Contribution Allocation_Report'!$A$9:$D$310,4,FALSE)*$O$323,0)</f>
        <v>-93169</v>
      </c>
      <c r="Q178" s="246">
        <f>+K178+VLOOKUP(A178,'Change in Proportion Layers'!$A$8:$I$321,3,FALSE)+VLOOKUP(A178,'Change in Proportion Layers'!$A$8:$V$321,10,FALSE)+VLOOKUP(A178,'Change in Proportion Layers'!$A$8:$V$321,16,FALSE)+VLOOKUP(A178,'Change in Proportion Layers'!$A$8:$V$321,21,FALSE)</f>
        <v>-283945</v>
      </c>
      <c r="R178" s="246">
        <f>+L178+VLOOKUP(A178,'Change in Proportion Layers'!$A$8:$V$321,4,FALSE)+VLOOKUP(A178,'Change in Proportion Layers'!$A$8:$V$321,11,FALSE)+VLOOKUP(A178,'Change in Proportion Layers'!$A$8:$V$321,17,FALSE)+VLOOKUP(A178,'Change in Proportion Layers'!$A$8:$V$321,22,FALSE)</f>
        <v>-174683</v>
      </c>
      <c r="S178" s="246">
        <f>+M178+VLOOKUP(A178,'Change in Proportion Layers'!$A$8:$V$321,5,FALSE)+VLOOKUP(A178,'Change in Proportion Layers'!$A$8:$V$321,12,FALSE)+VLOOKUP(A178,'Change in Proportion Layers'!$A$8:$V$321,18,FALSE)</f>
        <v>-114667</v>
      </c>
      <c r="T178" s="246">
        <f>+N178+VLOOKUP(A178,'Change in Proportion Layers'!$A$8:$V$321,6,FALSE)+VLOOKUP(A178,'Change in Proportion Layers'!$A$8:$V$321,13,FALSE)</f>
        <v>-30058</v>
      </c>
      <c r="U178" s="246">
        <f>+O178+VLOOKUP(A178,'Change in Proportion Layers'!$A$8:$V$321,7,FALSE)+1</f>
        <v>-95310</v>
      </c>
      <c r="W178" s="246">
        <f>('OPEB Amounts_Report'!G178-'OPEB Amounts_Report'!M178)</f>
        <v>-698663</v>
      </c>
      <c r="X178" s="282">
        <f>SUM(Q178:U178)-('OPEB Amounts_Report'!G178-'OPEB Amounts_Report'!M178)</f>
        <v>0</v>
      </c>
    </row>
    <row r="179" spans="1:24" s="8" customFormat="1">
      <c r="A179" s="237">
        <v>2148</v>
      </c>
      <c r="B179" s="238" t="s">
        <v>168</v>
      </c>
      <c r="C179" s="48">
        <f t="shared" si="15"/>
        <v>-126704</v>
      </c>
      <c r="D179" s="48">
        <f t="shared" si="16"/>
        <v>-82276</v>
      </c>
      <c r="E179" s="48">
        <f t="shared" si="17"/>
        <v>-47530</v>
      </c>
      <c r="F179" s="48">
        <f t="shared" si="18"/>
        <v>-18584</v>
      </c>
      <c r="G179" s="48">
        <f t="shared" si="19"/>
        <v>-33359</v>
      </c>
      <c r="I179" s="51"/>
      <c r="K179" s="156">
        <f>ROUND(VLOOKUP($A179,'Contribution Allocation_Report'!$A$9:$D$310,4,FALSE)*$K$323,0)</f>
        <v>-113534</v>
      </c>
      <c r="L179" s="156">
        <f>ROUND(VLOOKUP($A179,'Contribution Allocation_Report'!$A$9:$D$310,4,FALSE)*$L$323,0)</f>
        <v>-71448</v>
      </c>
      <c r="M179" s="156">
        <f>ROUND(VLOOKUP($A179,'Contribution Allocation_Report'!$A$9:$D$310,4,FALSE)*$M$323,0)</f>
        <v>-40595</v>
      </c>
      <c r="N179" s="156">
        <f>ROUND(VLOOKUP($A179,'Contribution Allocation_Report'!$A$9:$D$310,4,FALSE)*$N$323,0)</f>
        <v>-8072</v>
      </c>
      <c r="O179" s="246">
        <f>ROUND(VLOOKUP($A179,'Contribution Allocation_Report'!$A$9:$D$310,4,FALSE)*$O$323,0)</f>
        <v>-33199</v>
      </c>
      <c r="Q179" s="246">
        <f>+K179+VLOOKUP(A179,'Change in Proportion Layers'!$A$8:$I$321,3,FALSE)+VLOOKUP(A179,'Change in Proportion Layers'!$A$8:$V$321,10,FALSE)+VLOOKUP(A179,'Change in Proportion Layers'!$A$8:$V$321,16,FALSE)+VLOOKUP(A179,'Change in Proportion Layers'!$A$8:$V$321,21,FALSE)</f>
        <v>-126704</v>
      </c>
      <c r="R179" s="246">
        <f>+L179+VLOOKUP(A179,'Change in Proportion Layers'!$A$8:$V$321,4,FALSE)+VLOOKUP(A179,'Change in Proportion Layers'!$A$8:$V$321,11,FALSE)+VLOOKUP(A179,'Change in Proportion Layers'!$A$8:$V$321,17,FALSE)+VLOOKUP(A179,'Change in Proportion Layers'!$A$8:$V$321,22,FALSE)</f>
        <v>-82276</v>
      </c>
      <c r="S179" s="246">
        <f>+M179+VLOOKUP(A179,'Change in Proportion Layers'!$A$8:$V$321,5,FALSE)+VLOOKUP(A179,'Change in Proportion Layers'!$A$8:$V$321,12,FALSE)+VLOOKUP(A179,'Change in Proportion Layers'!$A$8:$V$321,18,FALSE)</f>
        <v>-47530</v>
      </c>
      <c r="T179" s="246">
        <f>+N179+VLOOKUP(A179,'Change in Proportion Layers'!$A$8:$V$321,6,FALSE)+VLOOKUP(A179,'Change in Proportion Layers'!$A$8:$V$321,13,FALSE)</f>
        <v>-18584</v>
      </c>
      <c r="U179" s="246">
        <f>+O179+VLOOKUP(A179,'Change in Proportion Layers'!$A$8:$V$321,7,FALSE)-1</f>
        <v>-33359</v>
      </c>
      <c r="W179" s="246">
        <f>('OPEB Amounts_Report'!G179-'OPEB Amounts_Report'!M179)</f>
        <v>-308453</v>
      </c>
      <c r="X179" s="282">
        <f>SUM(Q179:U179)-('OPEB Amounts_Report'!G179-'OPEB Amounts_Report'!M179)</f>
        <v>0</v>
      </c>
    </row>
    <row r="180" spans="1:24" s="8" customFormat="1">
      <c r="A180" s="235">
        <v>1418</v>
      </c>
      <c r="B180" s="236" t="s">
        <v>169</v>
      </c>
      <c r="C180" s="245">
        <f t="shared" si="15"/>
        <v>-207628</v>
      </c>
      <c r="D180" s="245">
        <f t="shared" si="16"/>
        <v>-78618</v>
      </c>
      <c r="E180" s="245">
        <f t="shared" si="17"/>
        <v>31853</v>
      </c>
      <c r="F180" s="245">
        <f t="shared" si="18"/>
        <v>292295</v>
      </c>
      <c r="G180" s="245">
        <f t="shared" si="19"/>
        <v>77801</v>
      </c>
      <c r="I180" s="51"/>
      <c r="K180" s="156">
        <f>ROUND(VLOOKUP($A180,'Contribution Allocation_Report'!$A$9:$D$310,4,FALSE)*$K$323,0)</f>
        <v>-438010</v>
      </c>
      <c r="L180" s="156">
        <f>ROUND(VLOOKUP($A180,'Contribution Allocation_Report'!$A$9:$D$310,4,FALSE)*$L$323,0)</f>
        <v>-275642</v>
      </c>
      <c r="M180" s="156">
        <f>ROUND(VLOOKUP($A180,'Contribution Allocation_Report'!$A$9:$D$310,4,FALSE)*$M$323,0)</f>
        <v>-156615</v>
      </c>
      <c r="N180" s="156">
        <f>ROUND(VLOOKUP($A180,'Contribution Allocation_Report'!$A$9:$D$310,4,FALSE)*$N$323,0)</f>
        <v>-31143</v>
      </c>
      <c r="O180" s="246">
        <f>ROUND(VLOOKUP($A180,'Contribution Allocation_Report'!$A$9:$D$310,4,FALSE)*$O$323,0)</f>
        <v>-128082</v>
      </c>
      <c r="Q180" s="246">
        <f>+K180+VLOOKUP(A180,'Change in Proportion Layers'!$A$8:$I$321,3,FALSE)+VLOOKUP(A180,'Change in Proportion Layers'!$A$8:$V$321,10,FALSE)+VLOOKUP(A180,'Change in Proportion Layers'!$A$8:$V$321,16,FALSE)+VLOOKUP(A180,'Change in Proportion Layers'!$A$8:$V$321,21,FALSE)</f>
        <v>-207628</v>
      </c>
      <c r="R180" s="246">
        <f>+L180+VLOOKUP(A180,'Change in Proportion Layers'!$A$8:$V$321,4,FALSE)+VLOOKUP(A180,'Change in Proportion Layers'!$A$8:$V$321,11,FALSE)+VLOOKUP(A180,'Change in Proportion Layers'!$A$8:$V$321,17,FALSE)+VLOOKUP(A180,'Change in Proportion Layers'!$A$8:$V$321,22,FALSE)</f>
        <v>-78618</v>
      </c>
      <c r="S180" s="246">
        <f>+M180+VLOOKUP(A180,'Change in Proportion Layers'!$A$8:$V$321,5,FALSE)+VLOOKUP(A180,'Change in Proportion Layers'!$A$8:$V$321,12,FALSE)+VLOOKUP(A180,'Change in Proportion Layers'!$A$8:$V$321,18,FALSE)</f>
        <v>31853</v>
      </c>
      <c r="T180" s="246">
        <f>+N180+VLOOKUP(A180,'Change in Proportion Layers'!$A$8:$V$321,6,FALSE)+VLOOKUP(A180,'Change in Proportion Layers'!$A$8:$V$321,13,FALSE)</f>
        <v>292295</v>
      </c>
      <c r="U180" s="246">
        <f>+O180+VLOOKUP(A180,'Change in Proportion Layers'!$A$8:$V$321,7,FALSE)</f>
        <v>77801</v>
      </c>
      <c r="W180" s="246">
        <f>('OPEB Amounts_Report'!G180-'OPEB Amounts_Report'!M180)</f>
        <v>115703</v>
      </c>
      <c r="X180" s="282">
        <f>SUM(Q180:U180)-('OPEB Amounts_Report'!G180-'OPEB Amounts_Report'!M180)</f>
        <v>0</v>
      </c>
    </row>
    <row r="181" spans="1:24" s="8" customFormat="1">
      <c r="A181" s="237">
        <v>12102</v>
      </c>
      <c r="B181" s="238" t="s">
        <v>170</v>
      </c>
      <c r="C181" s="48">
        <f t="shared" si="15"/>
        <v>-2902896</v>
      </c>
      <c r="D181" s="48">
        <f t="shared" si="16"/>
        <v>-1901517</v>
      </c>
      <c r="E181" s="48">
        <f t="shared" si="17"/>
        <v>-971156</v>
      </c>
      <c r="F181" s="48">
        <f t="shared" si="18"/>
        <v>-170547</v>
      </c>
      <c r="G181" s="48">
        <f t="shared" si="19"/>
        <v>-427179</v>
      </c>
      <c r="I181" s="51"/>
      <c r="K181" s="156">
        <f>ROUND(VLOOKUP($A181,'Contribution Allocation_Report'!$A$9:$D$310,4,FALSE)*$K$323,0)</f>
        <v>-2482228</v>
      </c>
      <c r="L181" s="156">
        <f>ROUND(VLOOKUP($A181,'Contribution Allocation_Report'!$A$9:$D$310,4,FALSE)*$L$323,0)</f>
        <v>-1562081</v>
      </c>
      <c r="M181" s="156">
        <f>ROUND(VLOOKUP($A181,'Contribution Allocation_Report'!$A$9:$D$310,4,FALSE)*$M$323,0)</f>
        <v>-887546</v>
      </c>
      <c r="N181" s="156">
        <f>ROUND(VLOOKUP($A181,'Contribution Allocation_Report'!$A$9:$D$310,4,FALSE)*$N$323,0)</f>
        <v>-176487</v>
      </c>
      <c r="O181" s="246">
        <f>ROUND(VLOOKUP($A181,'Contribution Allocation_Report'!$A$9:$D$310,4,FALSE)*$O$323,0)</f>
        <v>-725849</v>
      </c>
      <c r="Q181" s="246">
        <f>+K181+VLOOKUP(A181,'Change in Proportion Layers'!$A$8:$I$321,3,FALSE)+VLOOKUP(A181,'Change in Proportion Layers'!$A$8:$V$321,10,FALSE)+VLOOKUP(A181,'Change in Proportion Layers'!$A$8:$V$321,16,FALSE)+VLOOKUP(A181,'Change in Proportion Layers'!$A$8:$V$321,21,FALSE)</f>
        <v>-2902896</v>
      </c>
      <c r="R181" s="246">
        <f>+L181+VLOOKUP(A181,'Change in Proportion Layers'!$A$8:$V$321,4,FALSE)+VLOOKUP(A181,'Change in Proportion Layers'!$A$8:$V$321,11,FALSE)+VLOOKUP(A181,'Change in Proportion Layers'!$A$8:$V$321,17,FALSE)+VLOOKUP(A181,'Change in Proportion Layers'!$A$8:$V$321,22,FALSE)</f>
        <v>-1901517</v>
      </c>
      <c r="S181" s="246">
        <f>+M181+VLOOKUP(A181,'Change in Proportion Layers'!$A$8:$V$321,5,FALSE)+VLOOKUP(A181,'Change in Proportion Layers'!$A$8:$V$321,12,FALSE)+VLOOKUP(A181,'Change in Proportion Layers'!$A$8:$V$321,18,FALSE)</f>
        <v>-971156</v>
      </c>
      <c r="T181" s="246">
        <f>+N181+VLOOKUP(A181,'Change in Proportion Layers'!$A$8:$V$321,6,FALSE)+VLOOKUP(A181,'Change in Proportion Layers'!$A$8:$V$321,13,FALSE)</f>
        <v>-170547</v>
      </c>
      <c r="U181" s="246">
        <f>+O181+VLOOKUP(A181,'Change in Proportion Layers'!$A$8:$V$321,7,FALSE)</f>
        <v>-427179</v>
      </c>
      <c r="W181" s="246">
        <f>('OPEB Amounts_Report'!G181-'OPEB Amounts_Report'!M181)</f>
        <v>-6373295</v>
      </c>
      <c r="X181" s="282">
        <f>SUM(Q181:U181)-('OPEB Amounts_Report'!G181-'OPEB Amounts_Report'!M181)</f>
        <v>0</v>
      </c>
    </row>
    <row r="182" spans="1:24" s="8" customFormat="1">
      <c r="A182" s="235">
        <v>2414</v>
      </c>
      <c r="B182" s="236" t="s">
        <v>171</v>
      </c>
      <c r="C182" s="245">
        <f t="shared" si="15"/>
        <v>-10663</v>
      </c>
      <c r="D182" s="245">
        <f t="shared" si="16"/>
        <v>64014</v>
      </c>
      <c r="E182" s="245">
        <f t="shared" si="17"/>
        <v>108541</v>
      </c>
      <c r="F182" s="245">
        <f t="shared" si="18"/>
        <v>126355</v>
      </c>
      <c r="G182" s="245">
        <f t="shared" si="19"/>
        <v>-16174</v>
      </c>
      <c r="I182" s="51"/>
      <c r="K182" s="156">
        <f>ROUND(VLOOKUP($A182,'Contribution Allocation_Report'!$A$9:$D$310,4,FALSE)*$K$323,0)</f>
        <v>-188301</v>
      </c>
      <c r="L182" s="156">
        <f>ROUND(VLOOKUP($A182,'Contribution Allocation_Report'!$A$9:$D$310,4,FALSE)*$L$323,0)</f>
        <v>-118499</v>
      </c>
      <c r="M182" s="156">
        <f>ROUND(VLOOKUP($A182,'Contribution Allocation_Report'!$A$9:$D$310,4,FALSE)*$M$323,0)</f>
        <v>-67329</v>
      </c>
      <c r="N182" s="156">
        <f>ROUND(VLOOKUP($A182,'Contribution Allocation_Report'!$A$9:$D$310,4,FALSE)*$N$323,0)</f>
        <v>-13388</v>
      </c>
      <c r="O182" s="246">
        <f>ROUND(VLOOKUP($A182,'Contribution Allocation_Report'!$A$9:$D$310,4,FALSE)*$O$323,0)</f>
        <v>-55063</v>
      </c>
      <c r="Q182" s="246">
        <f>+K182+VLOOKUP(A182,'Change in Proportion Layers'!$A$8:$I$321,3,FALSE)+VLOOKUP(A182,'Change in Proportion Layers'!$A$8:$V$321,10,FALSE)+VLOOKUP(A182,'Change in Proportion Layers'!$A$8:$V$321,16,FALSE)+VLOOKUP(A182,'Change in Proportion Layers'!$A$8:$V$321,21,FALSE)</f>
        <v>-10663</v>
      </c>
      <c r="R182" s="246">
        <f>+L182+VLOOKUP(A182,'Change in Proportion Layers'!$A$8:$V$321,4,FALSE)+VLOOKUP(A182,'Change in Proportion Layers'!$A$8:$V$321,11,FALSE)+VLOOKUP(A182,'Change in Proportion Layers'!$A$8:$V$321,17,FALSE)+VLOOKUP(A182,'Change in Proportion Layers'!$A$8:$V$321,22,FALSE)</f>
        <v>64014</v>
      </c>
      <c r="S182" s="246">
        <f>+M182+VLOOKUP(A182,'Change in Proportion Layers'!$A$8:$V$321,5,FALSE)+VLOOKUP(A182,'Change in Proportion Layers'!$A$8:$V$321,12,FALSE)+VLOOKUP(A182,'Change in Proportion Layers'!$A$8:$V$321,18,FALSE)</f>
        <v>108541</v>
      </c>
      <c r="T182" s="246">
        <f>+N182+VLOOKUP(A182,'Change in Proportion Layers'!$A$8:$V$321,6,FALSE)+VLOOKUP(A182,'Change in Proportion Layers'!$A$8:$V$321,13,FALSE)</f>
        <v>126355</v>
      </c>
      <c r="U182" s="246">
        <f>+O182+VLOOKUP(A182,'Change in Proportion Layers'!$A$8:$V$321,7,FALSE)-1</f>
        <v>-16174</v>
      </c>
      <c r="W182" s="246">
        <f>('OPEB Amounts_Report'!G182-'OPEB Amounts_Report'!M182)</f>
        <v>272073</v>
      </c>
      <c r="X182" s="282">
        <f>SUM(Q182:U182)-('OPEB Amounts_Report'!G182-'OPEB Amounts_Report'!M182)</f>
        <v>0</v>
      </c>
    </row>
    <row r="183" spans="1:24" s="8" customFormat="1">
      <c r="A183" s="237">
        <v>6124</v>
      </c>
      <c r="B183" s="238" t="s">
        <v>172</v>
      </c>
      <c r="C183" s="48">
        <f t="shared" si="15"/>
        <v>-1761589</v>
      </c>
      <c r="D183" s="48">
        <f t="shared" si="16"/>
        <v>-1295800</v>
      </c>
      <c r="E183" s="48">
        <f t="shared" si="17"/>
        <v>-824931</v>
      </c>
      <c r="F183" s="48">
        <f t="shared" si="18"/>
        <v>-365055</v>
      </c>
      <c r="G183" s="48">
        <f t="shared" si="19"/>
        <v>-473352</v>
      </c>
      <c r="I183" s="51"/>
      <c r="K183" s="156">
        <f>ROUND(VLOOKUP($A183,'Contribution Allocation_Report'!$A$9:$D$310,4,FALSE)*$K$323,0)</f>
        <v>-1167636</v>
      </c>
      <c r="L183" s="156">
        <f>ROUND(VLOOKUP($A183,'Contribution Allocation_Report'!$A$9:$D$310,4,FALSE)*$L$323,0)</f>
        <v>-734800</v>
      </c>
      <c r="M183" s="156">
        <f>ROUND(VLOOKUP($A183,'Contribution Allocation_Report'!$A$9:$D$310,4,FALSE)*$M$323,0)</f>
        <v>-417500</v>
      </c>
      <c r="N183" s="156">
        <f>ROUND(VLOOKUP($A183,'Contribution Allocation_Report'!$A$9:$D$310,4,FALSE)*$N$323,0)</f>
        <v>-83019</v>
      </c>
      <c r="O183" s="246">
        <f>ROUND(VLOOKUP($A183,'Contribution Allocation_Report'!$A$9:$D$310,4,FALSE)*$O$323,0)</f>
        <v>-341438</v>
      </c>
      <c r="Q183" s="246">
        <f>+K183+VLOOKUP(A183,'Change in Proportion Layers'!$A$8:$I$321,3,FALSE)+VLOOKUP(A183,'Change in Proportion Layers'!$A$8:$V$321,10,FALSE)+VLOOKUP(A183,'Change in Proportion Layers'!$A$8:$V$321,16,FALSE)+VLOOKUP(A183,'Change in Proportion Layers'!$A$8:$V$321,21,FALSE)</f>
        <v>-1761589</v>
      </c>
      <c r="R183" s="246">
        <f>+L183+VLOOKUP(A183,'Change in Proportion Layers'!$A$8:$V$321,4,FALSE)+VLOOKUP(A183,'Change in Proportion Layers'!$A$8:$V$321,11,FALSE)+VLOOKUP(A183,'Change in Proportion Layers'!$A$8:$V$321,17,FALSE)+VLOOKUP(A183,'Change in Proportion Layers'!$A$8:$V$321,22,FALSE)</f>
        <v>-1295800</v>
      </c>
      <c r="S183" s="246">
        <f>+M183+VLOOKUP(A183,'Change in Proportion Layers'!$A$8:$V$321,5,FALSE)+VLOOKUP(A183,'Change in Proportion Layers'!$A$8:$V$321,12,FALSE)+VLOOKUP(A183,'Change in Proportion Layers'!$A$8:$V$321,18,FALSE)</f>
        <v>-824931</v>
      </c>
      <c r="T183" s="246">
        <f>+N183+VLOOKUP(A183,'Change in Proportion Layers'!$A$8:$V$321,6,FALSE)+VLOOKUP(A183,'Change in Proportion Layers'!$A$8:$V$321,13,FALSE)</f>
        <v>-365055</v>
      </c>
      <c r="U183" s="246">
        <f>+O183+VLOOKUP(A183,'Change in Proportion Layers'!$A$8:$V$321,7,FALSE)</f>
        <v>-473352</v>
      </c>
      <c r="W183" s="246">
        <f>('OPEB Amounts_Report'!G183-'OPEB Amounts_Report'!M183)</f>
        <v>-4720727</v>
      </c>
      <c r="X183" s="282">
        <f>SUM(Q183:U183)-('OPEB Amounts_Report'!G183-'OPEB Amounts_Report'!M183)</f>
        <v>0</v>
      </c>
    </row>
    <row r="184" spans="1:24" s="8" customFormat="1">
      <c r="A184" s="235">
        <v>4097</v>
      </c>
      <c r="B184" s="236" t="s">
        <v>173</v>
      </c>
      <c r="C184" s="245">
        <f t="shared" si="15"/>
        <v>-1534734</v>
      </c>
      <c r="D184" s="245">
        <f t="shared" si="16"/>
        <v>-1032681</v>
      </c>
      <c r="E184" s="245">
        <f t="shared" si="17"/>
        <v>-682543</v>
      </c>
      <c r="F184" s="245">
        <f t="shared" si="18"/>
        <v>-282070</v>
      </c>
      <c r="G184" s="245">
        <f t="shared" si="19"/>
        <v>-426356</v>
      </c>
      <c r="I184" s="51"/>
      <c r="K184" s="156">
        <f>ROUND(VLOOKUP($A184,'Contribution Allocation_Report'!$A$9:$D$310,4,FALSE)*$K$323,0)</f>
        <v>-1381766</v>
      </c>
      <c r="L184" s="156">
        <f>ROUND(VLOOKUP($A184,'Contribution Allocation_Report'!$A$9:$D$310,4,FALSE)*$L$323,0)</f>
        <v>-869554</v>
      </c>
      <c r="M184" s="156">
        <f>ROUND(VLOOKUP($A184,'Contribution Allocation_Report'!$A$9:$D$310,4,FALSE)*$M$323,0)</f>
        <v>-494064</v>
      </c>
      <c r="N184" s="156">
        <f>ROUND(VLOOKUP($A184,'Contribution Allocation_Report'!$A$9:$D$310,4,FALSE)*$N$323,0)</f>
        <v>-98244</v>
      </c>
      <c r="O184" s="246">
        <f>ROUND(VLOOKUP($A184,'Contribution Allocation_Report'!$A$9:$D$310,4,FALSE)*$O$323,0)</f>
        <v>-404053</v>
      </c>
      <c r="Q184" s="246">
        <f>+K184+VLOOKUP(A184,'Change in Proportion Layers'!$A$8:$I$321,3,FALSE)+VLOOKUP(A184,'Change in Proportion Layers'!$A$8:$V$321,10,FALSE)+VLOOKUP(A184,'Change in Proportion Layers'!$A$8:$V$321,16,FALSE)+VLOOKUP(A184,'Change in Proportion Layers'!$A$8:$V$321,21,FALSE)</f>
        <v>-1534734</v>
      </c>
      <c r="R184" s="246">
        <f>+L184+VLOOKUP(A184,'Change in Proportion Layers'!$A$8:$V$321,4,FALSE)+VLOOKUP(A184,'Change in Proportion Layers'!$A$8:$V$321,11,FALSE)+VLOOKUP(A184,'Change in Proportion Layers'!$A$8:$V$321,17,FALSE)+VLOOKUP(A184,'Change in Proportion Layers'!$A$8:$V$321,22,FALSE)</f>
        <v>-1032681</v>
      </c>
      <c r="S184" s="246">
        <f>+M184+VLOOKUP(A184,'Change in Proportion Layers'!$A$8:$V$321,5,FALSE)+VLOOKUP(A184,'Change in Proportion Layers'!$A$8:$V$321,12,FALSE)+VLOOKUP(A184,'Change in Proportion Layers'!$A$8:$V$321,18,FALSE)</f>
        <v>-682543</v>
      </c>
      <c r="T184" s="246">
        <f>+N184+VLOOKUP(A184,'Change in Proportion Layers'!$A$8:$V$321,6,FALSE)+VLOOKUP(A184,'Change in Proportion Layers'!$A$8:$V$321,13,FALSE)</f>
        <v>-282070</v>
      </c>
      <c r="U184" s="246">
        <f>+O184+VLOOKUP(A184,'Change in Proportion Layers'!$A$8:$V$321,7,FALSE)</f>
        <v>-426356</v>
      </c>
      <c r="W184" s="246">
        <f>('OPEB Amounts_Report'!G184-'OPEB Amounts_Report'!M184)</f>
        <v>-3958384</v>
      </c>
      <c r="X184" s="282">
        <f>SUM(Q184:U184)-('OPEB Amounts_Report'!G184-'OPEB Amounts_Report'!M184)</f>
        <v>0</v>
      </c>
    </row>
    <row r="185" spans="1:24" s="8" customFormat="1">
      <c r="A185" s="237">
        <v>1416</v>
      </c>
      <c r="B185" s="238" t="s">
        <v>174</v>
      </c>
      <c r="C185" s="48">
        <f t="shared" si="15"/>
        <v>-95713</v>
      </c>
      <c r="D185" s="48">
        <f t="shared" si="16"/>
        <v>-37349</v>
      </c>
      <c r="E185" s="48">
        <f t="shared" si="17"/>
        <v>-13037</v>
      </c>
      <c r="F185" s="48">
        <f t="shared" si="18"/>
        <v>18409</v>
      </c>
      <c r="G185" s="48">
        <f t="shared" si="19"/>
        <v>-23689</v>
      </c>
      <c r="I185" s="51"/>
      <c r="K185" s="156">
        <f>ROUND(VLOOKUP($A185,'Contribution Allocation_Report'!$A$9:$D$310,4,FALSE)*$K$323,0)</f>
        <v>-170301</v>
      </c>
      <c r="L185" s="156">
        <f>ROUND(VLOOKUP($A185,'Contribution Allocation_Report'!$A$9:$D$310,4,FALSE)*$L$323,0)</f>
        <v>-107171</v>
      </c>
      <c r="M185" s="156">
        <f>ROUND(VLOOKUP($A185,'Contribution Allocation_Report'!$A$9:$D$310,4,FALSE)*$M$323,0)</f>
        <v>-60893</v>
      </c>
      <c r="N185" s="156">
        <f>ROUND(VLOOKUP($A185,'Contribution Allocation_Report'!$A$9:$D$310,4,FALSE)*$N$323,0)</f>
        <v>-12108</v>
      </c>
      <c r="O185" s="246">
        <f>ROUND(VLOOKUP($A185,'Contribution Allocation_Report'!$A$9:$D$310,4,FALSE)*$O$323,0)</f>
        <v>-49799</v>
      </c>
      <c r="Q185" s="246">
        <f>+K185+VLOOKUP(A185,'Change in Proportion Layers'!$A$8:$I$321,3,FALSE)+VLOOKUP(A185,'Change in Proportion Layers'!$A$8:$V$321,10,FALSE)+VLOOKUP(A185,'Change in Proportion Layers'!$A$8:$V$321,16,FALSE)+VLOOKUP(A185,'Change in Proportion Layers'!$A$8:$V$321,21,FALSE)</f>
        <v>-95713</v>
      </c>
      <c r="R185" s="246">
        <f>+L185+VLOOKUP(A185,'Change in Proportion Layers'!$A$8:$V$321,4,FALSE)+VLOOKUP(A185,'Change in Proportion Layers'!$A$8:$V$321,11,FALSE)+VLOOKUP(A185,'Change in Proportion Layers'!$A$8:$V$321,17,FALSE)+VLOOKUP(A185,'Change in Proportion Layers'!$A$8:$V$321,22,FALSE)</f>
        <v>-37349</v>
      </c>
      <c r="S185" s="246">
        <f>+M185+VLOOKUP(A185,'Change in Proportion Layers'!$A$8:$V$321,5,FALSE)+VLOOKUP(A185,'Change in Proportion Layers'!$A$8:$V$321,12,FALSE)+VLOOKUP(A185,'Change in Proportion Layers'!$A$8:$V$321,18,FALSE)</f>
        <v>-13037</v>
      </c>
      <c r="T185" s="246">
        <f>+N185+VLOOKUP(A185,'Change in Proportion Layers'!$A$8:$V$321,6,FALSE)+VLOOKUP(A185,'Change in Proportion Layers'!$A$8:$V$321,13,FALSE)</f>
        <v>18409</v>
      </c>
      <c r="U185" s="246">
        <f>+O185+VLOOKUP(A185,'Change in Proportion Layers'!$A$8:$V$321,7,FALSE)-1</f>
        <v>-23689</v>
      </c>
      <c r="W185" s="246">
        <f>('OPEB Amounts_Report'!G185-'OPEB Amounts_Report'!M185)</f>
        <v>-151379</v>
      </c>
      <c r="X185" s="282">
        <f>SUM(Q185:U185)-('OPEB Amounts_Report'!G185-'OPEB Amounts_Report'!M185)</f>
        <v>0</v>
      </c>
    </row>
    <row r="186" spans="1:24" s="8" customFormat="1">
      <c r="A186" s="235">
        <v>1094</v>
      </c>
      <c r="B186" s="236" t="s">
        <v>175</v>
      </c>
      <c r="C186" s="245">
        <f t="shared" si="15"/>
        <v>-1073771</v>
      </c>
      <c r="D186" s="245">
        <f t="shared" si="16"/>
        <v>-696124</v>
      </c>
      <c r="E186" s="245">
        <f t="shared" si="17"/>
        <v>-435559</v>
      </c>
      <c r="F186" s="245">
        <f t="shared" si="18"/>
        <v>-153412</v>
      </c>
      <c r="G186" s="245">
        <f t="shared" si="19"/>
        <v>-407091</v>
      </c>
      <c r="I186" s="51"/>
      <c r="K186" s="156">
        <f>ROUND(VLOOKUP($A186,'Contribution Allocation_Report'!$A$9:$D$310,4,FALSE)*$K$323,0)</f>
        <v>-1031977</v>
      </c>
      <c r="L186" s="156">
        <f>ROUND(VLOOKUP($A186,'Contribution Allocation_Report'!$A$9:$D$310,4,FALSE)*$L$323,0)</f>
        <v>-649429</v>
      </c>
      <c r="M186" s="156">
        <f>ROUND(VLOOKUP($A186,'Contribution Allocation_Report'!$A$9:$D$310,4,FALSE)*$M$323,0)</f>
        <v>-368994</v>
      </c>
      <c r="N186" s="156">
        <f>ROUND(VLOOKUP($A186,'Contribution Allocation_Report'!$A$9:$D$310,4,FALSE)*$N$323,0)</f>
        <v>-73374</v>
      </c>
      <c r="O186" s="246">
        <f>ROUND(VLOOKUP($A186,'Contribution Allocation_Report'!$A$9:$D$310,4,FALSE)*$O$323,0)</f>
        <v>-301769</v>
      </c>
      <c r="Q186" s="246">
        <f>+K186+VLOOKUP(A186,'Change in Proportion Layers'!$A$8:$I$321,3,FALSE)+VLOOKUP(A186,'Change in Proportion Layers'!$A$8:$V$321,10,FALSE)+VLOOKUP(A186,'Change in Proportion Layers'!$A$8:$V$321,16,FALSE)+VLOOKUP(A186,'Change in Proportion Layers'!$A$8:$V$321,21,FALSE)</f>
        <v>-1073771</v>
      </c>
      <c r="R186" s="246">
        <f>+L186+VLOOKUP(A186,'Change in Proportion Layers'!$A$8:$V$321,4,FALSE)+VLOOKUP(A186,'Change in Proportion Layers'!$A$8:$V$321,11,FALSE)+VLOOKUP(A186,'Change in Proportion Layers'!$A$8:$V$321,17,FALSE)+VLOOKUP(A186,'Change in Proportion Layers'!$A$8:$V$321,22,FALSE)</f>
        <v>-696124</v>
      </c>
      <c r="S186" s="246">
        <f>+M186+VLOOKUP(A186,'Change in Proportion Layers'!$A$8:$V$321,5,FALSE)+VLOOKUP(A186,'Change in Proportion Layers'!$A$8:$V$321,12,FALSE)+VLOOKUP(A186,'Change in Proportion Layers'!$A$8:$V$321,18,FALSE)</f>
        <v>-435559</v>
      </c>
      <c r="T186" s="246">
        <f>+N186+VLOOKUP(A186,'Change in Proportion Layers'!$A$8:$V$321,6,FALSE)+VLOOKUP(A186,'Change in Proportion Layers'!$A$8:$V$321,13,FALSE)</f>
        <v>-153412</v>
      </c>
      <c r="U186" s="246">
        <f>+O186+VLOOKUP(A186,'Change in Proportion Layers'!$A$8:$V$321,7,FALSE)+2</f>
        <v>-407091</v>
      </c>
      <c r="W186" s="246">
        <f>('OPEB Amounts_Report'!G186-'OPEB Amounts_Report'!M186)</f>
        <v>-2765957</v>
      </c>
      <c r="X186" s="282">
        <f>SUM(Q186:U186)-('OPEB Amounts_Report'!G186-'OPEB Amounts_Report'!M186)</f>
        <v>0</v>
      </c>
    </row>
    <row r="187" spans="1:24" s="8" customFormat="1">
      <c r="A187" s="237">
        <v>32111</v>
      </c>
      <c r="B187" s="238" t="s">
        <v>176</v>
      </c>
      <c r="C187" s="48">
        <f t="shared" si="15"/>
        <v>-1006005</v>
      </c>
      <c r="D187" s="48">
        <f t="shared" si="16"/>
        <v>-662113</v>
      </c>
      <c r="E187" s="48">
        <f t="shared" si="17"/>
        <v>-424038</v>
      </c>
      <c r="F187" s="48">
        <f t="shared" si="18"/>
        <v>-153937</v>
      </c>
      <c r="G187" s="48">
        <f t="shared" si="19"/>
        <v>-339847</v>
      </c>
      <c r="I187" s="51"/>
      <c r="K187" s="156">
        <f>ROUND(VLOOKUP($A187,'Contribution Allocation_Report'!$A$9:$D$310,4,FALSE)*$K$323,0)</f>
        <v>-946943</v>
      </c>
      <c r="L187" s="156">
        <f>ROUND(VLOOKUP($A187,'Contribution Allocation_Report'!$A$9:$D$310,4,FALSE)*$L$323,0)</f>
        <v>-595917</v>
      </c>
      <c r="M187" s="156">
        <f>ROUND(VLOOKUP($A187,'Contribution Allocation_Report'!$A$9:$D$310,4,FALSE)*$M$323,0)</f>
        <v>-338589</v>
      </c>
      <c r="N187" s="156">
        <f>ROUND(VLOOKUP($A187,'Contribution Allocation_Report'!$A$9:$D$310,4,FALSE)*$N$323,0)</f>
        <v>-67328</v>
      </c>
      <c r="O187" s="246">
        <f>ROUND(VLOOKUP($A187,'Contribution Allocation_Report'!$A$9:$D$310,4,FALSE)*$O$323,0)</f>
        <v>-276903</v>
      </c>
      <c r="Q187" s="246">
        <f>+K187+VLOOKUP(A187,'Change in Proportion Layers'!$A$8:$I$321,3,FALSE)+VLOOKUP(A187,'Change in Proportion Layers'!$A$8:$V$321,10,FALSE)+VLOOKUP(A187,'Change in Proportion Layers'!$A$8:$V$321,16,FALSE)+VLOOKUP(A187,'Change in Proportion Layers'!$A$8:$V$321,21,FALSE)</f>
        <v>-1006005</v>
      </c>
      <c r="R187" s="246">
        <f>+L187+VLOOKUP(A187,'Change in Proportion Layers'!$A$8:$V$321,4,FALSE)+VLOOKUP(A187,'Change in Proportion Layers'!$A$8:$V$321,11,FALSE)+VLOOKUP(A187,'Change in Proportion Layers'!$A$8:$V$321,17,FALSE)+VLOOKUP(A187,'Change in Proportion Layers'!$A$8:$V$321,22,FALSE)</f>
        <v>-662113</v>
      </c>
      <c r="S187" s="246">
        <f>+M187+VLOOKUP(A187,'Change in Proportion Layers'!$A$8:$V$321,5,FALSE)+VLOOKUP(A187,'Change in Proportion Layers'!$A$8:$V$321,12,FALSE)+VLOOKUP(A187,'Change in Proportion Layers'!$A$8:$V$321,18,FALSE)</f>
        <v>-424038</v>
      </c>
      <c r="T187" s="246">
        <f>+N187+VLOOKUP(A187,'Change in Proportion Layers'!$A$8:$V$321,6,FALSE)+VLOOKUP(A187,'Change in Proportion Layers'!$A$8:$V$321,13,FALSE)</f>
        <v>-153937</v>
      </c>
      <c r="U187" s="246">
        <f>+O187+VLOOKUP(A187,'Change in Proportion Layers'!$A$8:$V$321,7,FALSE)-2</f>
        <v>-339847</v>
      </c>
      <c r="W187" s="246">
        <f>('OPEB Amounts_Report'!G187-'OPEB Amounts_Report'!M187)</f>
        <v>-2585940</v>
      </c>
      <c r="X187" s="282">
        <f>SUM(Q187:U187)-('OPEB Amounts_Report'!G187-'OPEB Amounts_Report'!M187)</f>
        <v>0</v>
      </c>
    </row>
    <row r="188" spans="1:24" s="8" customFormat="1">
      <c r="A188" s="235">
        <v>2520</v>
      </c>
      <c r="B188" s="236" t="s">
        <v>177</v>
      </c>
      <c r="C188" s="245">
        <f t="shared" si="15"/>
        <v>-199219</v>
      </c>
      <c r="D188" s="245">
        <f t="shared" si="16"/>
        <v>-148645</v>
      </c>
      <c r="E188" s="245">
        <f t="shared" si="17"/>
        <v>-81059</v>
      </c>
      <c r="F188" s="245">
        <f t="shared" si="18"/>
        <v>4339</v>
      </c>
      <c r="G188" s="245">
        <f t="shared" si="19"/>
        <v>-9075</v>
      </c>
      <c r="I188" s="51"/>
      <c r="K188" s="156">
        <f>ROUND(VLOOKUP($A188,'Contribution Allocation_Report'!$A$9:$D$310,4,FALSE)*$K$323,0)</f>
        <v>-130925</v>
      </c>
      <c r="L188" s="156">
        <f>ROUND(VLOOKUP($A188,'Contribution Allocation_Report'!$A$9:$D$310,4,FALSE)*$L$323,0)</f>
        <v>-82392</v>
      </c>
      <c r="M188" s="156">
        <f>ROUND(VLOOKUP($A188,'Contribution Allocation_Report'!$A$9:$D$310,4,FALSE)*$M$323,0)</f>
        <v>-46814</v>
      </c>
      <c r="N188" s="156">
        <f>ROUND(VLOOKUP($A188,'Contribution Allocation_Report'!$A$9:$D$310,4,FALSE)*$N$323,0)</f>
        <v>-9309</v>
      </c>
      <c r="O188" s="246">
        <f>ROUND(VLOOKUP($A188,'Contribution Allocation_Report'!$A$9:$D$310,4,FALSE)*$O$323,0)</f>
        <v>-38285</v>
      </c>
      <c r="Q188" s="246">
        <f>+K188+VLOOKUP(A188,'Change in Proportion Layers'!$A$8:$I$321,3,FALSE)+VLOOKUP(A188,'Change in Proportion Layers'!$A$8:$V$321,10,FALSE)+VLOOKUP(A188,'Change in Proportion Layers'!$A$8:$V$321,16,FALSE)+VLOOKUP(A188,'Change in Proportion Layers'!$A$8:$V$321,21,FALSE)</f>
        <v>-199219</v>
      </c>
      <c r="R188" s="246">
        <f>+L188+VLOOKUP(A188,'Change in Proportion Layers'!$A$8:$V$321,4,FALSE)+VLOOKUP(A188,'Change in Proportion Layers'!$A$8:$V$321,11,FALSE)+VLOOKUP(A188,'Change in Proportion Layers'!$A$8:$V$321,17,FALSE)+VLOOKUP(A188,'Change in Proportion Layers'!$A$8:$V$321,22,FALSE)</f>
        <v>-148645</v>
      </c>
      <c r="S188" s="246">
        <f>+M188+VLOOKUP(A188,'Change in Proportion Layers'!$A$8:$V$321,5,FALSE)+VLOOKUP(A188,'Change in Proportion Layers'!$A$8:$V$321,12,FALSE)+VLOOKUP(A188,'Change in Proportion Layers'!$A$8:$V$321,18,FALSE)</f>
        <v>-81059</v>
      </c>
      <c r="T188" s="246">
        <f>+N188+VLOOKUP(A188,'Change in Proportion Layers'!$A$8:$V$321,6,FALSE)+VLOOKUP(A188,'Change in Proportion Layers'!$A$8:$V$321,13,FALSE)</f>
        <v>4339</v>
      </c>
      <c r="U188" s="246">
        <f>+O188+VLOOKUP(A188,'Change in Proportion Layers'!$A$8:$V$321,7,FALSE)+1</f>
        <v>-9075</v>
      </c>
      <c r="W188" s="246">
        <f>('OPEB Amounts_Report'!G188-'OPEB Amounts_Report'!M188)</f>
        <v>-433659</v>
      </c>
      <c r="X188" s="282">
        <f>SUM(Q188:U188)-('OPEB Amounts_Report'!G188-'OPEB Amounts_Report'!M188)</f>
        <v>0</v>
      </c>
    </row>
    <row r="189" spans="1:24" s="8" customFormat="1">
      <c r="A189" s="237">
        <v>3450</v>
      </c>
      <c r="B189" s="238" t="s">
        <v>178</v>
      </c>
      <c r="C189" s="48">
        <f t="shared" si="15"/>
        <v>-247912</v>
      </c>
      <c r="D189" s="48">
        <f t="shared" si="16"/>
        <v>-158193</v>
      </c>
      <c r="E189" s="48">
        <f t="shared" si="17"/>
        <v>-107872</v>
      </c>
      <c r="F189" s="48">
        <f t="shared" si="18"/>
        <v>-28347</v>
      </c>
      <c r="G189" s="48">
        <f t="shared" si="19"/>
        <v>-75456</v>
      </c>
      <c r="I189" s="51"/>
      <c r="K189" s="156">
        <f>ROUND(VLOOKUP($A189,'Contribution Allocation_Report'!$A$9:$D$310,4,FALSE)*$K$323,0)</f>
        <v>-267006</v>
      </c>
      <c r="L189" s="156">
        <f>ROUND(VLOOKUP($A189,'Contribution Allocation_Report'!$A$9:$D$310,4,FALSE)*$L$323,0)</f>
        <v>-168029</v>
      </c>
      <c r="M189" s="156">
        <f>ROUND(VLOOKUP($A189,'Contribution Allocation_Report'!$A$9:$D$310,4,FALSE)*$M$323,0)</f>
        <v>-95471</v>
      </c>
      <c r="N189" s="156">
        <f>ROUND(VLOOKUP($A189,'Contribution Allocation_Report'!$A$9:$D$310,4,FALSE)*$N$323,0)</f>
        <v>-18984</v>
      </c>
      <c r="O189" s="246">
        <f>ROUND(VLOOKUP($A189,'Contribution Allocation_Report'!$A$9:$D$310,4,FALSE)*$O$323,0)</f>
        <v>-78077</v>
      </c>
      <c r="Q189" s="246">
        <f>+K189+VLOOKUP(A189,'Change in Proportion Layers'!$A$8:$I$321,3,FALSE)+VLOOKUP(A189,'Change in Proportion Layers'!$A$8:$V$321,10,FALSE)+VLOOKUP(A189,'Change in Proportion Layers'!$A$8:$V$321,16,FALSE)+VLOOKUP(A189,'Change in Proportion Layers'!$A$8:$V$321,21,FALSE)</f>
        <v>-247912</v>
      </c>
      <c r="R189" s="246">
        <f>+L189+VLOOKUP(A189,'Change in Proportion Layers'!$A$8:$V$321,4,FALSE)+VLOOKUP(A189,'Change in Proportion Layers'!$A$8:$V$321,11,FALSE)+VLOOKUP(A189,'Change in Proportion Layers'!$A$8:$V$321,17,FALSE)+VLOOKUP(A189,'Change in Proportion Layers'!$A$8:$V$321,22,FALSE)</f>
        <v>-158193</v>
      </c>
      <c r="S189" s="246">
        <f>+M189+VLOOKUP(A189,'Change in Proportion Layers'!$A$8:$V$321,5,FALSE)+VLOOKUP(A189,'Change in Proportion Layers'!$A$8:$V$321,12,FALSE)+VLOOKUP(A189,'Change in Proportion Layers'!$A$8:$V$321,18,FALSE)</f>
        <v>-107872</v>
      </c>
      <c r="T189" s="246">
        <f>+N189+VLOOKUP(A189,'Change in Proportion Layers'!$A$8:$V$321,6,FALSE)+VLOOKUP(A189,'Change in Proportion Layers'!$A$8:$V$321,13,FALSE)</f>
        <v>-28347</v>
      </c>
      <c r="U189" s="246">
        <f>+O189+VLOOKUP(A189,'Change in Proportion Layers'!$A$8:$V$321,7,FALSE)</f>
        <v>-75456</v>
      </c>
      <c r="W189" s="246">
        <f>('OPEB Amounts_Report'!G189-'OPEB Amounts_Report'!M189)</f>
        <v>-617780</v>
      </c>
      <c r="X189" s="282">
        <f>SUM(Q189:U189)-('OPEB Amounts_Report'!G189-'OPEB Amounts_Report'!M189)</f>
        <v>0</v>
      </c>
    </row>
    <row r="190" spans="1:24" s="8" customFormat="1">
      <c r="A190" s="235">
        <v>4310</v>
      </c>
      <c r="B190" s="236" t="s">
        <v>179</v>
      </c>
      <c r="C190" s="245">
        <f t="shared" si="15"/>
        <v>-115570</v>
      </c>
      <c r="D190" s="245">
        <f t="shared" si="16"/>
        <v>-66812</v>
      </c>
      <c r="E190" s="245">
        <f t="shared" si="17"/>
        <v>-55207</v>
      </c>
      <c r="F190" s="245">
        <f t="shared" si="18"/>
        <v>-28967</v>
      </c>
      <c r="G190" s="245">
        <f t="shared" si="19"/>
        <v>-62857</v>
      </c>
      <c r="I190" s="51"/>
      <c r="K190" s="156">
        <f>ROUND(VLOOKUP($A190,'Contribution Allocation_Report'!$A$9:$D$310,4,FALSE)*$K$323,0)</f>
        <v>-152535</v>
      </c>
      <c r="L190" s="156">
        <f>ROUND(VLOOKUP($A190,'Contribution Allocation_Report'!$A$9:$D$310,4,FALSE)*$L$323,0)</f>
        <v>-95991</v>
      </c>
      <c r="M190" s="156">
        <f>ROUND(VLOOKUP($A190,'Contribution Allocation_Report'!$A$9:$D$310,4,FALSE)*$M$323,0)</f>
        <v>-54540</v>
      </c>
      <c r="N190" s="156">
        <f>ROUND(VLOOKUP($A190,'Contribution Allocation_Report'!$A$9:$D$310,4,FALSE)*$N$323,0)</f>
        <v>-10845</v>
      </c>
      <c r="O190" s="246">
        <f>ROUND(VLOOKUP($A190,'Contribution Allocation_Report'!$A$9:$D$310,4,FALSE)*$O$323,0)</f>
        <v>-44604</v>
      </c>
      <c r="Q190" s="246">
        <f>+K190+VLOOKUP(A190,'Change in Proportion Layers'!$A$8:$I$321,3,FALSE)+VLOOKUP(A190,'Change in Proportion Layers'!$A$8:$V$321,10,FALSE)+VLOOKUP(A190,'Change in Proportion Layers'!$A$8:$V$321,16,FALSE)+VLOOKUP(A190,'Change in Proportion Layers'!$A$8:$V$321,21,FALSE)</f>
        <v>-115570</v>
      </c>
      <c r="R190" s="246">
        <f>+L190+VLOOKUP(A190,'Change in Proportion Layers'!$A$8:$V$321,4,FALSE)+VLOOKUP(A190,'Change in Proportion Layers'!$A$8:$V$321,11,FALSE)+VLOOKUP(A190,'Change in Proportion Layers'!$A$8:$V$321,17,FALSE)+VLOOKUP(A190,'Change in Proportion Layers'!$A$8:$V$321,22,FALSE)</f>
        <v>-66812</v>
      </c>
      <c r="S190" s="246">
        <f>+M190+VLOOKUP(A190,'Change in Proportion Layers'!$A$8:$V$321,5,FALSE)+VLOOKUP(A190,'Change in Proportion Layers'!$A$8:$V$321,12,FALSE)+VLOOKUP(A190,'Change in Proportion Layers'!$A$8:$V$321,18,FALSE)</f>
        <v>-55207</v>
      </c>
      <c r="T190" s="246">
        <f>+N190+VLOOKUP(A190,'Change in Proportion Layers'!$A$8:$V$321,6,FALSE)+VLOOKUP(A190,'Change in Proportion Layers'!$A$8:$V$321,13,FALSE)</f>
        <v>-28967</v>
      </c>
      <c r="U190" s="246">
        <f>+O190+VLOOKUP(A190,'Change in Proportion Layers'!$A$8:$V$321,7,FALSE)</f>
        <v>-62857</v>
      </c>
      <c r="W190" s="246">
        <f>('OPEB Amounts_Report'!G190-'OPEB Amounts_Report'!M190)</f>
        <v>-329413</v>
      </c>
      <c r="X190" s="282">
        <f>SUM(Q190:U190)-('OPEB Amounts_Report'!G190-'OPEB Amounts_Report'!M190)</f>
        <v>0</v>
      </c>
    </row>
    <row r="191" spans="1:24" s="8" customFormat="1">
      <c r="A191" s="237">
        <v>2328</v>
      </c>
      <c r="B191" s="238" t="s">
        <v>180</v>
      </c>
      <c r="C191" s="48">
        <f t="shared" si="15"/>
        <v>-293916</v>
      </c>
      <c r="D191" s="48">
        <f t="shared" si="16"/>
        <v>-165985</v>
      </c>
      <c r="E191" s="48">
        <f t="shared" si="17"/>
        <v>-29544</v>
      </c>
      <c r="F191" s="48">
        <f t="shared" si="18"/>
        <v>413</v>
      </c>
      <c r="G191" s="48">
        <f t="shared" si="19"/>
        <v>-51139</v>
      </c>
      <c r="I191" s="51"/>
      <c r="K191" s="156">
        <f>ROUND(VLOOKUP($A191,'Contribution Allocation_Report'!$A$9:$D$310,4,FALSE)*$K$323,0)</f>
        <v>-248443</v>
      </c>
      <c r="L191" s="156">
        <f>ROUND(VLOOKUP($A191,'Contribution Allocation_Report'!$A$9:$D$310,4,FALSE)*$L$323,0)</f>
        <v>-156347</v>
      </c>
      <c r="M191" s="156">
        <f>ROUND(VLOOKUP($A191,'Contribution Allocation_Report'!$A$9:$D$310,4,FALSE)*$M$323,0)</f>
        <v>-88833</v>
      </c>
      <c r="N191" s="156">
        <f>ROUND(VLOOKUP($A191,'Contribution Allocation_Report'!$A$9:$D$310,4,FALSE)*$N$323,0)</f>
        <v>-17664</v>
      </c>
      <c r="O191" s="246">
        <f>ROUND(VLOOKUP($A191,'Contribution Allocation_Report'!$A$9:$D$310,4,FALSE)*$O$323,0)</f>
        <v>-72649</v>
      </c>
      <c r="Q191" s="246">
        <f>+K191+VLOOKUP(A191,'Change in Proportion Layers'!$A$8:$I$321,3,FALSE)+VLOOKUP(A191,'Change in Proportion Layers'!$A$8:$V$321,10,FALSE)+VLOOKUP(A191,'Change in Proportion Layers'!$A$8:$V$321,16,FALSE)+VLOOKUP(A191,'Change in Proportion Layers'!$A$8:$V$321,21,FALSE)</f>
        <v>-293916</v>
      </c>
      <c r="R191" s="246">
        <f>+L191+VLOOKUP(A191,'Change in Proportion Layers'!$A$8:$V$321,4,FALSE)+VLOOKUP(A191,'Change in Proportion Layers'!$A$8:$V$321,11,FALSE)+VLOOKUP(A191,'Change in Proportion Layers'!$A$8:$V$321,17,FALSE)+VLOOKUP(A191,'Change in Proportion Layers'!$A$8:$V$321,22,FALSE)</f>
        <v>-165985</v>
      </c>
      <c r="S191" s="246">
        <f>+M191+VLOOKUP(A191,'Change in Proportion Layers'!$A$8:$V$321,5,FALSE)+VLOOKUP(A191,'Change in Proportion Layers'!$A$8:$V$321,12,FALSE)+VLOOKUP(A191,'Change in Proportion Layers'!$A$8:$V$321,18,FALSE)</f>
        <v>-29544</v>
      </c>
      <c r="T191" s="246">
        <f>+N191+VLOOKUP(A191,'Change in Proportion Layers'!$A$8:$V$321,6,FALSE)+VLOOKUP(A191,'Change in Proportion Layers'!$A$8:$V$321,13,FALSE)</f>
        <v>413</v>
      </c>
      <c r="U191" s="246">
        <f>+O191+VLOOKUP(A191,'Change in Proportion Layers'!$A$8:$V$321,7,FALSE)</f>
        <v>-51139</v>
      </c>
      <c r="W191" s="246">
        <f>('OPEB Amounts_Report'!G191-'OPEB Amounts_Report'!M191)</f>
        <v>-540171</v>
      </c>
      <c r="X191" s="282">
        <f>SUM(Q191:U191)-('OPEB Amounts_Report'!G191-'OPEB Amounts_Report'!M191)</f>
        <v>0</v>
      </c>
    </row>
    <row r="192" spans="1:24" s="8" customFormat="1">
      <c r="A192" s="235">
        <v>12151</v>
      </c>
      <c r="B192" s="236" t="s">
        <v>181</v>
      </c>
      <c r="C192" s="245">
        <f t="shared" si="15"/>
        <v>-173694</v>
      </c>
      <c r="D192" s="245">
        <f t="shared" si="16"/>
        <v>-138349</v>
      </c>
      <c r="E192" s="245">
        <f t="shared" si="17"/>
        <v>-85965</v>
      </c>
      <c r="F192" s="245">
        <f t="shared" si="18"/>
        <v>-30721</v>
      </c>
      <c r="G192" s="245">
        <f t="shared" si="19"/>
        <v>-16238</v>
      </c>
      <c r="I192" s="51"/>
      <c r="K192" s="156">
        <f>ROUND(VLOOKUP($A192,'Contribution Allocation_Report'!$A$9:$D$310,4,FALSE)*$K$323,0)</f>
        <v>-82127</v>
      </c>
      <c r="L192" s="156">
        <f>ROUND(VLOOKUP($A192,'Contribution Allocation_Report'!$A$9:$D$310,4,FALSE)*$L$323,0)</f>
        <v>-51683</v>
      </c>
      <c r="M192" s="156">
        <f>ROUND(VLOOKUP($A192,'Contribution Allocation_Report'!$A$9:$D$310,4,FALSE)*$M$323,0)</f>
        <v>-29365</v>
      </c>
      <c r="N192" s="156">
        <f>ROUND(VLOOKUP($A192,'Contribution Allocation_Report'!$A$9:$D$310,4,FALSE)*$N$323,0)</f>
        <v>-5839</v>
      </c>
      <c r="O192" s="246">
        <f>ROUND(VLOOKUP($A192,'Contribution Allocation_Report'!$A$9:$D$310,4,FALSE)*$O$323,0)</f>
        <v>-24015</v>
      </c>
      <c r="Q192" s="246">
        <f>+K192+VLOOKUP(A192,'Change in Proportion Layers'!$A$8:$I$321,3,FALSE)+VLOOKUP(A192,'Change in Proportion Layers'!$A$8:$V$321,10,FALSE)+VLOOKUP(A192,'Change in Proportion Layers'!$A$8:$V$321,16,FALSE)+VLOOKUP(A192,'Change in Proportion Layers'!$A$8:$V$321,21,FALSE)</f>
        <v>-173694</v>
      </c>
      <c r="R192" s="246">
        <f>+L192+VLOOKUP(A192,'Change in Proportion Layers'!$A$8:$V$321,4,FALSE)+VLOOKUP(A192,'Change in Proportion Layers'!$A$8:$V$321,11,FALSE)+VLOOKUP(A192,'Change in Proportion Layers'!$A$8:$V$321,17,FALSE)+VLOOKUP(A192,'Change in Proportion Layers'!$A$8:$V$321,22,FALSE)</f>
        <v>-138349</v>
      </c>
      <c r="S192" s="246">
        <f>+M192+VLOOKUP(A192,'Change in Proportion Layers'!$A$8:$V$321,5,FALSE)+VLOOKUP(A192,'Change in Proportion Layers'!$A$8:$V$321,12,FALSE)+VLOOKUP(A192,'Change in Proportion Layers'!$A$8:$V$321,18,FALSE)</f>
        <v>-85965</v>
      </c>
      <c r="T192" s="246">
        <f>+N192+VLOOKUP(A192,'Change in Proportion Layers'!$A$8:$V$321,6,FALSE)+VLOOKUP(A192,'Change in Proportion Layers'!$A$8:$V$321,13,FALSE)</f>
        <v>-30721</v>
      </c>
      <c r="U192" s="246">
        <f>+O192+VLOOKUP(A192,'Change in Proportion Layers'!$A$8:$V$321,7,FALSE)-1</f>
        <v>-16238</v>
      </c>
      <c r="W192" s="246">
        <f>('OPEB Amounts_Report'!G192-'OPEB Amounts_Report'!M192)</f>
        <v>-444967</v>
      </c>
      <c r="X192" s="282">
        <f>SUM(Q192:U192)-('OPEB Amounts_Report'!G192-'OPEB Amounts_Report'!M192)</f>
        <v>0</v>
      </c>
    </row>
    <row r="193" spans="1:24" s="8" customFormat="1">
      <c r="A193" s="237">
        <v>32110</v>
      </c>
      <c r="B193" s="238" t="s">
        <v>182</v>
      </c>
      <c r="C193" s="48">
        <f t="shared" si="15"/>
        <v>-690344</v>
      </c>
      <c r="D193" s="48">
        <f t="shared" si="16"/>
        <v>-362850</v>
      </c>
      <c r="E193" s="48">
        <f t="shared" si="17"/>
        <v>-158093</v>
      </c>
      <c r="F193" s="48">
        <f t="shared" si="18"/>
        <v>128873</v>
      </c>
      <c r="G193" s="48">
        <f t="shared" si="19"/>
        <v>-177268</v>
      </c>
      <c r="I193" s="51"/>
      <c r="K193" s="156">
        <f>ROUND(VLOOKUP($A193,'Contribution Allocation_Report'!$A$9:$D$310,4,FALSE)*$K$323,0)</f>
        <v>-949287</v>
      </c>
      <c r="L193" s="156">
        <f>ROUND(VLOOKUP($A193,'Contribution Allocation_Report'!$A$9:$D$310,4,FALSE)*$L$323,0)</f>
        <v>-597392</v>
      </c>
      <c r="M193" s="156">
        <f>ROUND(VLOOKUP($A193,'Contribution Allocation_Report'!$A$9:$D$310,4,FALSE)*$M$323,0)</f>
        <v>-339427</v>
      </c>
      <c r="N193" s="156">
        <f>ROUND(VLOOKUP($A193,'Contribution Allocation_Report'!$A$9:$D$310,4,FALSE)*$N$323,0)</f>
        <v>-67494</v>
      </c>
      <c r="O193" s="246">
        <f>ROUND(VLOOKUP($A193,'Contribution Allocation_Report'!$A$9:$D$310,4,FALSE)*$O$323,0)</f>
        <v>-277589</v>
      </c>
      <c r="Q193" s="246">
        <f>+K193+VLOOKUP(A193,'Change in Proportion Layers'!$A$8:$I$321,3,FALSE)+VLOOKUP(A193,'Change in Proportion Layers'!$A$8:$V$321,10,FALSE)+VLOOKUP(A193,'Change in Proportion Layers'!$A$8:$V$321,16,FALSE)+VLOOKUP(A193,'Change in Proportion Layers'!$A$8:$V$321,21,FALSE)</f>
        <v>-690344</v>
      </c>
      <c r="R193" s="246">
        <f>+L193+VLOOKUP(A193,'Change in Proportion Layers'!$A$8:$V$321,4,FALSE)+VLOOKUP(A193,'Change in Proportion Layers'!$A$8:$V$321,11,FALSE)+VLOOKUP(A193,'Change in Proportion Layers'!$A$8:$V$321,17,FALSE)+VLOOKUP(A193,'Change in Proportion Layers'!$A$8:$V$321,22,FALSE)</f>
        <v>-362850</v>
      </c>
      <c r="S193" s="246">
        <f>+M193+VLOOKUP(A193,'Change in Proportion Layers'!$A$8:$V$321,5,FALSE)+VLOOKUP(A193,'Change in Proportion Layers'!$A$8:$V$321,12,FALSE)+VLOOKUP(A193,'Change in Proportion Layers'!$A$8:$V$321,18,FALSE)</f>
        <v>-158093</v>
      </c>
      <c r="T193" s="246">
        <f>+N193+VLOOKUP(A193,'Change in Proportion Layers'!$A$8:$V$321,6,FALSE)+VLOOKUP(A193,'Change in Proportion Layers'!$A$8:$V$321,13,FALSE)</f>
        <v>128873</v>
      </c>
      <c r="U193" s="246">
        <f>+O193+VLOOKUP(A193,'Change in Proportion Layers'!$A$8:$V$321,7,FALSE)-1</f>
        <v>-177268</v>
      </c>
      <c r="W193" s="246">
        <f>('OPEB Amounts_Report'!G193-'OPEB Amounts_Report'!M193)</f>
        <v>-1259682</v>
      </c>
      <c r="X193" s="282">
        <f>SUM(Q193:U193)-('OPEB Amounts_Report'!G193-'OPEB Amounts_Report'!M193)</f>
        <v>0</v>
      </c>
    </row>
    <row r="194" spans="1:24" s="8" customFormat="1">
      <c r="A194" s="235">
        <v>4215</v>
      </c>
      <c r="B194" s="236" t="s">
        <v>183</v>
      </c>
      <c r="C194" s="245">
        <f t="shared" si="15"/>
        <v>-86344</v>
      </c>
      <c r="D194" s="245">
        <f t="shared" si="16"/>
        <v>-84387</v>
      </c>
      <c r="E194" s="245">
        <f t="shared" si="17"/>
        <v>-77633</v>
      </c>
      <c r="F194" s="245">
        <f t="shared" si="18"/>
        <v>-53419</v>
      </c>
      <c r="G194" s="245">
        <f t="shared" si="19"/>
        <v>-37709</v>
      </c>
      <c r="I194" s="51"/>
      <c r="K194" s="156">
        <f>ROUND(VLOOKUP($A194,'Contribution Allocation_Report'!$A$9:$D$310,4,FALSE)*$K$323,0)</f>
        <v>-13875</v>
      </c>
      <c r="L194" s="156">
        <f>ROUND(VLOOKUP($A194,'Contribution Allocation_Report'!$A$9:$D$310,4,FALSE)*$L$323,0)</f>
        <v>-8732</v>
      </c>
      <c r="M194" s="156">
        <f>ROUND(VLOOKUP($A194,'Contribution Allocation_Report'!$A$9:$D$310,4,FALSE)*$M$323,0)</f>
        <v>-4961</v>
      </c>
      <c r="N194" s="156">
        <f>ROUND(VLOOKUP($A194,'Contribution Allocation_Report'!$A$9:$D$310,4,FALSE)*$N$323,0)</f>
        <v>-987</v>
      </c>
      <c r="O194" s="246">
        <f>ROUND(VLOOKUP($A194,'Contribution Allocation_Report'!$A$9:$D$310,4,FALSE)*$O$323,0)</f>
        <v>-4057</v>
      </c>
      <c r="Q194" s="246">
        <f>+K194+VLOOKUP(A194,'Change in Proportion Layers'!$A$8:$I$321,3,FALSE)+VLOOKUP(A194,'Change in Proportion Layers'!$A$8:$V$321,10,FALSE)+VLOOKUP(A194,'Change in Proportion Layers'!$A$8:$V$321,16,FALSE)+VLOOKUP(A194,'Change in Proportion Layers'!$A$8:$V$321,21,FALSE)</f>
        <v>-86344</v>
      </c>
      <c r="R194" s="246">
        <f>+L194+VLOOKUP(A194,'Change in Proportion Layers'!$A$8:$V$321,4,FALSE)+VLOOKUP(A194,'Change in Proportion Layers'!$A$8:$V$321,11,FALSE)+VLOOKUP(A194,'Change in Proportion Layers'!$A$8:$V$321,17,FALSE)+VLOOKUP(A194,'Change in Proportion Layers'!$A$8:$V$321,22,FALSE)</f>
        <v>-84387</v>
      </c>
      <c r="S194" s="246">
        <f>+M194+VLOOKUP(A194,'Change in Proportion Layers'!$A$8:$V$321,5,FALSE)+VLOOKUP(A194,'Change in Proportion Layers'!$A$8:$V$321,12,FALSE)+VLOOKUP(A194,'Change in Proportion Layers'!$A$8:$V$321,18,FALSE)</f>
        <v>-77633</v>
      </c>
      <c r="T194" s="246">
        <f>+N194+VLOOKUP(A194,'Change in Proportion Layers'!$A$8:$V$321,6,FALSE)+VLOOKUP(A194,'Change in Proportion Layers'!$A$8:$V$321,13,FALSE)</f>
        <v>-53419</v>
      </c>
      <c r="U194" s="246">
        <f>+O194+VLOOKUP(A194,'Change in Proportion Layers'!$A$8:$V$321,7,FALSE)-1</f>
        <v>-37709</v>
      </c>
      <c r="W194" s="246">
        <f>('OPEB Amounts_Report'!G194-'OPEB Amounts_Report'!M194)</f>
        <v>-339492</v>
      </c>
      <c r="X194" s="282">
        <f>SUM(Q194:U194)-('OPEB Amounts_Report'!G194-'OPEB Amounts_Report'!M194)</f>
        <v>0</v>
      </c>
    </row>
    <row r="195" spans="1:24" s="8" customFormat="1">
      <c r="A195" s="237">
        <v>2870</v>
      </c>
      <c r="B195" s="238" t="s">
        <v>184</v>
      </c>
      <c r="C195" s="48">
        <f t="shared" si="15"/>
        <v>-137066</v>
      </c>
      <c r="D195" s="48">
        <f t="shared" si="16"/>
        <v>-88443</v>
      </c>
      <c r="E195" s="48">
        <f t="shared" si="17"/>
        <v>-67163</v>
      </c>
      <c r="F195" s="48">
        <f t="shared" si="18"/>
        <v>-24974</v>
      </c>
      <c r="G195" s="48">
        <f t="shared" si="19"/>
        <v>-41797</v>
      </c>
      <c r="I195" s="51"/>
      <c r="K195" s="156">
        <f>ROUND(VLOOKUP($A195,'Contribution Allocation_Report'!$A$9:$D$310,4,FALSE)*$K$323,0)</f>
        <v>-151082</v>
      </c>
      <c r="L195" s="156">
        <f>ROUND(VLOOKUP($A195,'Contribution Allocation_Report'!$A$9:$D$310,4,FALSE)*$L$323,0)</f>
        <v>-95077</v>
      </c>
      <c r="M195" s="156">
        <f>ROUND(VLOOKUP($A195,'Contribution Allocation_Report'!$A$9:$D$310,4,FALSE)*$M$323,0)</f>
        <v>-54021</v>
      </c>
      <c r="N195" s="156">
        <f>ROUND(VLOOKUP($A195,'Contribution Allocation_Report'!$A$9:$D$310,4,FALSE)*$N$323,0)</f>
        <v>-10742</v>
      </c>
      <c r="O195" s="246">
        <f>ROUND(VLOOKUP($A195,'Contribution Allocation_Report'!$A$9:$D$310,4,FALSE)*$O$323,0)</f>
        <v>-44179</v>
      </c>
      <c r="Q195" s="246">
        <f>+K195+VLOOKUP(A195,'Change in Proportion Layers'!$A$8:$I$321,3,FALSE)+VLOOKUP(A195,'Change in Proportion Layers'!$A$8:$V$321,10,FALSE)+VLOOKUP(A195,'Change in Proportion Layers'!$A$8:$V$321,16,FALSE)+VLOOKUP(A195,'Change in Proportion Layers'!$A$8:$V$321,21,FALSE)</f>
        <v>-137066</v>
      </c>
      <c r="R195" s="246">
        <f>+L195+VLOOKUP(A195,'Change in Proportion Layers'!$A$8:$V$321,4,FALSE)+VLOOKUP(A195,'Change in Proportion Layers'!$A$8:$V$321,11,FALSE)+VLOOKUP(A195,'Change in Proportion Layers'!$A$8:$V$321,17,FALSE)+VLOOKUP(A195,'Change in Proportion Layers'!$A$8:$V$321,22,FALSE)</f>
        <v>-88443</v>
      </c>
      <c r="S195" s="246">
        <f>+M195+VLOOKUP(A195,'Change in Proportion Layers'!$A$8:$V$321,5,FALSE)+VLOOKUP(A195,'Change in Proportion Layers'!$A$8:$V$321,12,FALSE)+VLOOKUP(A195,'Change in Proportion Layers'!$A$8:$V$321,18,FALSE)</f>
        <v>-67163</v>
      </c>
      <c r="T195" s="246">
        <f>+N195+VLOOKUP(A195,'Change in Proportion Layers'!$A$8:$V$321,6,FALSE)+VLOOKUP(A195,'Change in Proportion Layers'!$A$8:$V$321,13,FALSE)</f>
        <v>-24974</v>
      </c>
      <c r="U195" s="246">
        <f>+O195+VLOOKUP(A195,'Change in Proportion Layers'!$A$8:$V$321,7,FALSE)+2</f>
        <v>-41797</v>
      </c>
      <c r="W195" s="246">
        <f>('OPEB Amounts_Report'!G195-'OPEB Amounts_Report'!M195)</f>
        <v>-359443</v>
      </c>
      <c r="X195" s="282">
        <f>SUM(Q195:U195)-('OPEB Amounts_Report'!G195-'OPEB Amounts_Report'!M195)</f>
        <v>0</v>
      </c>
    </row>
    <row r="196" spans="1:24" s="8" customFormat="1">
      <c r="A196" s="235">
        <v>29150</v>
      </c>
      <c r="B196" s="236" t="s">
        <v>185</v>
      </c>
      <c r="C196" s="245">
        <f t="shared" si="15"/>
        <v>-25672</v>
      </c>
      <c r="D196" s="245">
        <f t="shared" si="16"/>
        <v>-20773</v>
      </c>
      <c r="E196" s="245">
        <f t="shared" si="17"/>
        <v>-38595</v>
      </c>
      <c r="F196" s="245">
        <f t="shared" si="18"/>
        <v>-23390</v>
      </c>
      <c r="G196" s="245">
        <f t="shared" si="19"/>
        <v>-24046</v>
      </c>
      <c r="I196" s="51"/>
      <c r="K196" s="156">
        <f>ROUND(VLOOKUP($A196,'Contribution Allocation_Report'!$A$9:$D$310,4,FALSE)*$K$323,0)</f>
        <v>-46126</v>
      </c>
      <c r="L196" s="156">
        <f>ROUND(VLOOKUP($A196,'Contribution Allocation_Report'!$A$9:$D$310,4,FALSE)*$L$323,0)</f>
        <v>-29027</v>
      </c>
      <c r="M196" s="156">
        <f>ROUND(VLOOKUP($A196,'Contribution Allocation_Report'!$A$9:$D$310,4,FALSE)*$M$323,0)</f>
        <v>-16493</v>
      </c>
      <c r="N196" s="156">
        <f>ROUND(VLOOKUP($A196,'Contribution Allocation_Report'!$A$9:$D$310,4,FALSE)*$N$323,0)</f>
        <v>-3280</v>
      </c>
      <c r="O196" s="246">
        <f>ROUND(VLOOKUP($A196,'Contribution Allocation_Report'!$A$9:$D$310,4,FALSE)*$O$323,0)</f>
        <v>-13488</v>
      </c>
      <c r="Q196" s="246">
        <f>+K196+VLOOKUP(A196,'Change in Proportion Layers'!$A$8:$I$321,3,FALSE)+VLOOKUP(A196,'Change in Proportion Layers'!$A$8:$V$321,10,FALSE)+VLOOKUP(A196,'Change in Proportion Layers'!$A$8:$V$321,16,FALSE)+VLOOKUP(A196,'Change in Proportion Layers'!$A$8:$V$321,21,FALSE)</f>
        <v>-25672</v>
      </c>
      <c r="R196" s="246">
        <f>+L196+VLOOKUP(A196,'Change in Proportion Layers'!$A$8:$V$321,4,FALSE)+VLOOKUP(A196,'Change in Proportion Layers'!$A$8:$V$321,11,FALSE)+VLOOKUP(A196,'Change in Proportion Layers'!$A$8:$V$321,17,FALSE)+VLOOKUP(A196,'Change in Proportion Layers'!$A$8:$V$321,22,FALSE)</f>
        <v>-20773</v>
      </c>
      <c r="S196" s="246">
        <f>+M196+VLOOKUP(A196,'Change in Proportion Layers'!$A$8:$V$321,5,FALSE)+VLOOKUP(A196,'Change in Proportion Layers'!$A$8:$V$321,12,FALSE)+VLOOKUP(A196,'Change in Proportion Layers'!$A$8:$V$321,18,FALSE)</f>
        <v>-38595</v>
      </c>
      <c r="T196" s="246">
        <f>+N196+VLOOKUP(A196,'Change in Proportion Layers'!$A$8:$V$321,6,FALSE)+VLOOKUP(A196,'Change in Proportion Layers'!$A$8:$V$321,13,FALSE)</f>
        <v>-23390</v>
      </c>
      <c r="U196" s="246">
        <f>+O196+VLOOKUP(A196,'Change in Proportion Layers'!$A$8:$V$321,7,FALSE)</f>
        <v>-24046</v>
      </c>
      <c r="W196" s="246">
        <f>('OPEB Amounts_Report'!G196-'OPEB Amounts_Report'!M196)</f>
        <v>-132476</v>
      </c>
      <c r="X196" s="282">
        <f>SUM(Q196:U196)-('OPEB Amounts_Report'!G196-'OPEB Amounts_Report'!M196)</f>
        <v>0</v>
      </c>
    </row>
    <row r="197" spans="1:24" s="8" customFormat="1">
      <c r="A197" s="237">
        <v>2311</v>
      </c>
      <c r="B197" s="238" t="s">
        <v>186</v>
      </c>
      <c r="C197" s="48">
        <f t="shared" si="15"/>
        <v>-87142</v>
      </c>
      <c r="D197" s="48">
        <f t="shared" si="16"/>
        <v>-48494</v>
      </c>
      <c r="E197" s="48">
        <f t="shared" si="17"/>
        <v>-31801</v>
      </c>
      <c r="F197" s="48">
        <f t="shared" si="18"/>
        <v>9047</v>
      </c>
      <c r="G197" s="48">
        <f t="shared" si="19"/>
        <v>-62163</v>
      </c>
      <c r="I197" s="51"/>
      <c r="K197" s="156">
        <f>ROUND(VLOOKUP($A197,'Contribution Allocation_Report'!$A$9:$D$310,4,FALSE)*$K$323,0)</f>
        <v>-126003</v>
      </c>
      <c r="L197" s="156">
        <f>ROUND(VLOOKUP($A197,'Contribution Allocation_Report'!$A$9:$D$310,4,FALSE)*$L$323,0)</f>
        <v>-79294</v>
      </c>
      <c r="M197" s="156">
        <f>ROUND(VLOOKUP($A197,'Contribution Allocation_Report'!$A$9:$D$310,4,FALSE)*$M$323,0)</f>
        <v>-45054</v>
      </c>
      <c r="N197" s="156">
        <f>ROUND(VLOOKUP($A197,'Contribution Allocation_Report'!$A$9:$D$310,4,FALSE)*$N$323,0)</f>
        <v>-8959</v>
      </c>
      <c r="O197" s="246">
        <f>ROUND(VLOOKUP($A197,'Contribution Allocation_Report'!$A$9:$D$310,4,FALSE)*$O$323,0)</f>
        <v>-36846</v>
      </c>
      <c r="Q197" s="246">
        <f>+K197+VLOOKUP(A197,'Change in Proportion Layers'!$A$8:$I$321,3,FALSE)+VLOOKUP(A197,'Change in Proportion Layers'!$A$8:$V$321,10,FALSE)+VLOOKUP(A197,'Change in Proportion Layers'!$A$8:$V$321,16,FALSE)+VLOOKUP(A197,'Change in Proportion Layers'!$A$8:$V$321,21,FALSE)</f>
        <v>-87142</v>
      </c>
      <c r="R197" s="246">
        <f>+L197+VLOOKUP(A197,'Change in Proportion Layers'!$A$8:$V$321,4,FALSE)+VLOOKUP(A197,'Change in Proportion Layers'!$A$8:$V$321,11,FALSE)+VLOOKUP(A197,'Change in Proportion Layers'!$A$8:$V$321,17,FALSE)+VLOOKUP(A197,'Change in Proportion Layers'!$A$8:$V$321,22,FALSE)</f>
        <v>-48494</v>
      </c>
      <c r="S197" s="246">
        <f>+M197+VLOOKUP(A197,'Change in Proportion Layers'!$A$8:$V$321,5,FALSE)+VLOOKUP(A197,'Change in Proportion Layers'!$A$8:$V$321,12,FALSE)+VLOOKUP(A197,'Change in Proportion Layers'!$A$8:$V$321,18,FALSE)</f>
        <v>-31801</v>
      </c>
      <c r="T197" s="246">
        <f>+N197+VLOOKUP(A197,'Change in Proportion Layers'!$A$8:$V$321,6,FALSE)+VLOOKUP(A197,'Change in Proportion Layers'!$A$8:$V$321,13,FALSE)</f>
        <v>9047</v>
      </c>
      <c r="U197" s="246">
        <f>+O197+VLOOKUP(A197,'Change in Proportion Layers'!$A$8:$V$321,7,FALSE)</f>
        <v>-62163</v>
      </c>
      <c r="W197" s="246">
        <f>('OPEB Amounts_Report'!G197-'OPEB Amounts_Report'!M197)</f>
        <v>-220553</v>
      </c>
      <c r="X197" s="282">
        <f>SUM(Q197:U197)-('OPEB Amounts_Report'!G197-'OPEB Amounts_Report'!M197)</f>
        <v>0</v>
      </c>
    </row>
    <row r="198" spans="1:24" s="8" customFormat="1">
      <c r="A198" s="235">
        <v>32118</v>
      </c>
      <c r="B198" s="236" t="s">
        <v>187</v>
      </c>
      <c r="C198" s="245">
        <f t="shared" si="15"/>
        <v>242716</v>
      </c>
      <c r="D198" s="245">
        <f t="shared" si="16"/>
        <v>376955</v>
      </c>
      <c r="E198" s="245">
        <f t="shared" si="17"/>
        <v>385648</v>
      </c>
      <c r="F198" s="245">
        <f t="shared" si="18"/>
        <v>439592</v>
      </c>
      <c r="G198" s="245">
        <f t="shared" si="19"/>
        <v>216525</v>
      </c>
      <c r="I198" s="51"/>
      <c r="K198" s="156">
        <f>ROUND(VLOOKUP($A198,'Contribution Allocation_Report'!$A$9:$D$310,4,FALSE)*$K$323,0)</f>
        <v>-436979</v>
      </c>
      <c r="L198" s="156">
        <f>ROUND(VLOOKUP($A198,'Contribution Allocation_Report'!$A$9:$D$310,4,FALSE)*$L$323,0)</f>
        <v>-274993</v>
      </c>
      <c r="M198" s="156">
        <f>ROUND(VLOOKUP($A198,'Contribution Allocation_Report'!$A$9:$D$310,4,FALSE)*$M$323,0)</f>
        <v>-156246</v>
      </c>
      <c r="N198" s="156">
        <f>ROUND(VLOOKUP($A198,'Contribution Allocation_Report'!$A$9:$D$310,4,FALSE)*$N$323,0)</f>
        <v>-31069</v>
      </c>
      <c r="O198" s="246">
        <f>ROUND(VLOOKUP($A198,'Contribution Allocation_Report'!$A$9:$D$310,4,FALSE)*$O$323,0)</f>
        <v>-127781</v>
      </c>
      <c r="Q198" s="246">
        <f>+K198+VLOOKUP(A198,'Change in Proportion Layers'!$A$8:$I$321,3,FALSE)+VLOOKUP(A198,'Change in Proportion Layers'!$A$8:$V$321,10,FALSE)+VLOOKUP(A198,'Change in Proportion Layers'!$A$8:$V$321,16,FALSE)+VLOOKUP(A198,'Change in Proportion Layers'!$A$8:$V$321,21,FALSE)</f>
        <v>242716</v>
      </c>
      <c r="R198" s="246">
        <f>+L198+VLOOKUP(A198,'Change in Proportion Layers'!$A$8:$V$321,4,FALSE)+VLOOKUP(A198,'Change in Proportion Layers'!$A$8:$V$321,11,FALSE)+VLOOKUP(A198,'Change in Proportion Layers'!$A$8:$V$321,17,FALSE)+VLOOKUP(A198,'Change in Proportion Layers'!$A$8:$V$321,22,FALSE)</f>
        <v>376955</v>
      </c>
      <c r="S198" s="246">
        <f>+M198+VLOOKUP(A198,'Change in Proportion Layers'!$A$8:$V$321,5,FALSE)+VLOOKUP(A198,'Change in Proportion Layers'!$A$8:$V$321,12,FALSE)+VLOOKUP(A198,'Change in Proportion Layers'!$A$8:$V$321,18,FALSE)</f>
        <v>385648</v>
      </c>
      <c r="T198" s="246">
        <f>+N198+VLOOKUP(A198,'Change in Proportion Layers'!$A$8:$V$321,6,FALSE)+VLOOKUP(A198,'Change in Proportion Layers'!$A$8:$V$321,13,FALSE)</f>
        <v>439592</v>
      </c>
      <c r="U198" s="246">
        <f>+O198+VLOOKUP(A198,'Change in Proportion Layers'!$A$8:$V$321,7,FALSE)-1</f>
        <v>216525</v>
      </c>
      <c r="W198" s="246">
        <f>('OPEB Amounts_Report'!G198-'OPEB Amounts_Report'!M198)</f>
        <v>1661436</v>
      </c>
      <c r="X198" s="282">
        <f>SUM(Q198:U198)-('OPEB Amounts_Report'!G198-'OPEB Amounts_Report'!M198)</f>
        <v>0</v>
      </c>
    </row>
    <row r="199" spans="1:24" s="8" customFormat="1">
      <c r="A199" s="237">
        <v>12039</v>
      </c>
      <c r="B199" s="238" t="s">
        <v>188</v>
      </c>
      <c r="C199" s="48">
        <f t="shared" si="15"/>
        <v>-507459</v>
      </c>
      <c r="D199" s="48">
        <f t="shared" si="16"/>
        <v>-353272</v>
      </c>
      <c r="E199" s="48">
        <f t="shared" si="17"/>
        <v>-238674</v>
      </c>
      <c r="F199" s="48">
        <f t="shared" si="18"/>
        <v>-123920</v>
      </c>
      <c r="G199" s="48">
        <f t="shared" si="19"/>
        <v>-156188</v>
      </c>
      <c r="I199" s="51"/>
      <c r="K199" s="156">
        <f>ROUND(VLOOKUP($A199,'Contribution Allocation_Report'!$A$9:$D$310,4,FALSE)*$K$323,0)</f>
        <v>-410353</v>
      </c>
      <c r="L199" s="156">
        <f>ROUND(VLOOKUP($A199,'Contribution Allocation_Report'!$A$9:$D$310,4,FALSE)*$L$323,0)</f>
        <v>-258238</v>
      </c>
      <c r="M199" s="156">
        <f>ROUND(VLOOKUP($A199,'Contribution Allocation_Report'!$A$9:$D$310,4,FALSE)*$M$323,0)</f>
        <v>-146726</v>
      </c>
      <c r="N199" s="156">
        <f>ROUND(VLOOKUP($A199,'Contribution Allocation_Report'!$A$9:$D$310,4,FALSE)*$N$323,0)</f>
        <v>-29176</v>
      </c>
      <c r="O199" s="246">
        <f>ROUND(VLOOKUP($A199,'Contribution Allocation_Report'!$A$9:$D$310,4,FALSE)*$O$323,0)</f>
        <v>-119995</v>
      </c>
      <c r="Q199" s="246">
        <f>+K199+VLOOKUP(A199,'Change in Proportion Layers'!$A$8:$I$321,3,FALSE)+VLOOKUP(A199,'Change in Proportion Layers'!$A$8:$V$321,10,FALSE)+VLOOKUP(A199,'Change in Proportion Layers'!$A$8:$V$321,16,FALSE)+VLOOKUP(A199,'Change in Proportion Layers'!$A$8:$V$321,21,FALSE)</f>
        <v>-507459</v>
      </c>
      <c r="R199" s="246">
        <f>+L199+VLOOKUP(A199,'Change in Proportion Layers'!$A$8:$V$321,4,FALSE)+VLOOKUP(A199,'Change in Proportion Layers'!$A$8:$V$321,11,FALSE)+VLOOKUP(A199,'Change in Proportion Layers'!$A$8:$V$321,17,FALSE)+VLOOKUP(A199,'Change in Proportion Layers'!$A$8:$V$321,22,FALSE)</f>
        <v>-353272</v>
      </c>
      <c r="S199" s="246">
        <f>+M199+VLOOKUP(A199,'Change in Proportion Layers'!$A$8:$V$321,5,FALSE)+VLOOKUP(A199,'Change in Proportion Layers'!$A$8:$V$321,12,FALSE)+VLOOKUP(A199,'Change in Proportion Layers'!$A$8:$V$321,18,FALSE)</f>
        <v>-238674</v>
      </c>
      <c r="T199" s="246">
        <f>+N199+VLOOKUP(A199,'Change in Proportion Layers'!$A$8:$V$321,6,FALSE)+VLOOKUP(A199,'Change in Proportion Layers'!$A$8:$V$321,13,FALSE)</f>
        <v>-123920</v>
      </c>
      <c r="U199" s="246">
        <f>+O199+VLOOKUP(A199,'Change in Proportion Layers'!$A$8:$V$321,7,FALSE)+1</f>
        <v>-156188</v>
      </c>
      <c r="W199" s="246">
        <f>('OPEB Amounts_Report'!G199-'OPEB Amounts_Report'!M199)</f>
        <v>-1379513</v>
      </c>
      <c r="X199" s="282">
        <f>SUM(Q199:U199)-('OPEB Amounts_Report'!G199-'OPEB Amounts_Report'!M199)</f>
        <v>0</v>
      </c>
    </row>
    <row r="200" spans="1:24" s="8" customFormat="1">
      <c r="A200" s="235">
        <v>12150</v>
      </c>
      <c r="B200" s="236" t="s">
        <v>189</v>
      </c>
      <c r="C200" s="245">
        <f t="shared" si="15"/>
        <v>-34234</v>
      </c>
      <c r="D200" s="245">
        <f t="shared" si="16"/>
        <v>-14452</v>
      </c>
      <c r="E200" s="245">
        <f t="shared" si="17"/>
        <v>-23755</v>
      </c>
      <c r="F200" s="245">
        <f t="shared" si="18"/>
        <v>-11701</v>
      </c>
      <c r="G200" s="245">
        <f t="shared" si="19"/>
        <v>-38435</v>
      </c>
      <c r="I200" s="51"/>
      <c r="K200" s="156">
        <f>ROUND(VLOOKUP($A200,'Contribution Allocation_Report'!$A$9:$D$310,4,FALSE)*$K$323,0)</f>
        <v>-79596</v>
      </c>
      <c r="L200" s="156">
        <f>ROUND(VLOOKUP($A200,'Contribution Allocation_Report'!$A$9:$D$310,4,FALSE)*$L$323,0)</f>
        <v>-50090</v>
      </c>
      <c r="M200" s="156">
        <f>ROUND(VLOOKUP($A200,'Contribution Allocation_Report'!$A$9:$D$310,4,FALSE)*$M$323,0)</f>
        <v>-28460</v>
      </c>
      <c r="N200" s="156">
        <f>ROUND(VLOOKUP($A200,'Contribution Allocation_Report'!$A$9:$D$310,4,FALSE)*$N$323,0)</f>
        <v>-5659</v>
      </c>
      <c r="O200" s="246">
        <f>ROUND(VLOOKUP($A200,'Contribution Allocation_Report'!$A$9:$D$310,4,FALSE)*$O$323,0)</f>
        <v>-23275</v>
      </c>
      <c r="Q200" s="246">
        <f>+K200+VLOOKUP(A200,'Change in Proportion Layers'!$A$8:$I$321,3,FALSE)+VLOOKUP(A200,'Change in Proportion Layers'!$A$8:$V$321,10,FALSE)+VLOOKUP(A200,'Change in Proportion Layers'!$A$8:$V$321,16,FALSE)+VLOOKUP(A200,'Change in Proportion Layers'!$A$8:$V$321,21,FALSE)</f>
        <v>-34234</v>
      </c>
      <c r="R200" s="246">
        <f>+L200+VLOOKUP(A200,'Change in Proportion Layers'!$A$8:$V$321,4,FALSE)+VLOOKUP(A200,'Change in Proportion Layers'!$A$8:$V$321,11,FALSE)+VLOOKUP(A200,'Change in Proportion Layers'!$A$8:$V$321,17,FALSE)+VLOOKUP(A200,'Change in Proportion Layers'!$A$8:$V$321,22,FALSE)</f>
        <v>-14452</v>
      </c>
      <c r="S200" s="246">
        <f>+M200+VLOOKUP(A200,'Change in Proportion Layers'!$A$8:$V$321,5,FALSE)+VLOOKUP(A200,'Change in Proportion Layers'!$A$8:$V$321,12,FALSE)+VLOOKUP(A200,'Change in Proportion Layers'!$A$8:$V$321,18,FALSE)</f>
        <v>-23755</v>
      </c>
      <c r="T200" s="246">
        <f>+N200+VLOOKUP(A200,'Change in Proportion Layers'!$A$8:$V$321,6,FALSE)+VLOOKUP(A200,'Change in Proportion Layers'!$A$8:$V$321,13,FALSE)</f>
        <v>-11701</v>
      </c>
      <c r="U200" s="246">
        <f>+O200+VLOOKUP(A200,'Change in Proportion Layers'!$A$8:$V$321,7,FALSE)</f>
        <v>-38435</v>
      </c>
      <c r="W200" s="246">
        <f>('OPEB Amounts_Report'!G200-'OPEB Amounts_Report'!M200)</f>
        <v>-122577</v>
      </c>
      <c r="X200" s="282">
        <f>SUM(Q200:U200)-('OPEB Amounts_Report'!G200-'OPEB Amounts_Report'!M200)</f>
        <v>0</v>
      </c>
    </row>
    <row r="201" spans="1:24" s="8" customFormat="1">
      <c r="A201" s="237">
        <v>20060</v>
      </c>
      <c r="B201" s="238" t="s">
        <v>190</v>
      </c>
      <c r="C201" s="48">
        <f t="shared" si="15"/>
        <v>-170617</v>
      </c>
      <c r="D201" s="48">
        <f t="shared" si="16"/>
        <v>-162612</v>
      </c>
      <c r="E201" s="48">
        <f t="shared" si="17"/>
        <v>-273101</v>
      </c>
      <c r="F201" s="48">
        <f t="shared" si="18"/>
        <v>-69408</v>
      </c>
      <c r="G201" s="48">
        <f t="shared" si="19"/>
        <v>-108883</v>
      </c>
      <c r="I201" s="51"/>
      <c r="K201" s="156">
        <f>ROUND(VLOOKUP($A201,'Contribution Allocation_Report'!$A$9:$D$310,4,FALSE)*$K$323,0)</f>
        <v>-291194</v>
      </c>
      <c r="L201" s="156">
        <f>ROUND(VLOOKUP($A201,'Contribution Allocation_Report'!$A$9:$D$310,4,FALSE)*$L$323,0)</f>
        <v>-183250</v>
      </c>
      <c r="M201" s="156">
        <f>ROUND(VLOOKUP($A201,'Contribution Allocation_Report'!$A$9:$D$310,4,FALSE)*$M$323,0)</f>
        <v>-104119</v>
      </c>
      <c r="N201" s="156">
        <f>ROUND(VLOOKUP($A201,'Contribution Allocation_Report'!$A$9:$D$310,4,FALSE)*$N$323,0)</f>
        <v>-20704</v>
      </c>
      <c r="O201" s="246">
        <f>ROUND(VLOOKUP($A201,'Contribution Allocation_Report'!$A$9:$D$310,4,FALSE)*$O$323,0)</f>
        <v>-85150</v>
      </c>
      <c r="Q201" s="246">
        <f>+K201+VLOOKUP(A201,'Change in Proportion Layers'!$A$8:$I$321,3,FALSE)+VLOOKUP(A201,'Change in Proportion Layers'!$A$8:$V$321,10,FALSE)+VLOOKUP(A201,'Change in Proportion Layers'!$A$8:$V$321,16,FALSE)+VLOOKUP(A201,'Change in Proportion Layers'!$A$8:$V$321,21,FALSE)</f>
        <v>-170617</v>
      </c>
      <c r="R201" s="246">
        <f>+L201+VLOOKUP(A201,'Change in Proportion Layers'!$A$8:$V$321,4,FALSE)+VLOOKUP(A201,'Change in Proportion Layers'!$A$8:$V$321,11,FALSE)+VLOOKUP(A201,'Change in Proportion Layers'!$A$8:$V$321,17,FALSE)+VLOOKUP(A201,'Change in Proportion Layers'!$A$8:$V$321,22,FALSE)</f>
        <v>-162612</v>
      </c>
      <c r="S201" s="246">
        <f>+M201+VLOOKUP(A201,'Change in Proportion Layers'!$A$8:$V$321,5,FALSE)+VLOOKUP(A201,'Change in Proportion Layers'!$A$8:$V$321,12,FALSE)+VLOOKUP(A201,'Change in Proportion Layers'!$A$8:$V$321,18,FALSE)</f>
        <v>-273101</v>
      </c>
      <c r="T201" s="246">
        <f>+N201+VLOOKUP(A201,'Change in Proportion Layers'!$A$8:$V$321,6,FALSE)+VLOOKUP(A201,'Change in Proportion Layers'!$A$8:$V$321,13,FALSE)</f>
        <v>-69408</v>
      </c>
      <c r="U201" s="246">
        <f>+O201+VLOOKUP(A201,'Change in Proportion Layers'!$A$8:$V$321,7,FALSE)-2</f>
        <v>-108883</v>
      </c>
      <c r="W201" s="246">
        <f>('OPEB Amounts_Report'!G201-'OPEB Amounts_Report'!M201)</f>
        <v>-784621</v>
      </c>
      <c r="X201" s="282">
        <f>SUM(Q201:U201)-('OPEB Amounts_Report'!G201-'OPEB Amounts_Report'!M201)</f>
        <v>0</v>
      </c>
    </row>
    <row r="202" spans="1:24" s="8" customFormat="1">
      <c r="A202" s="235">
        <v>1001</v>
      </c>
      <c r="B202" s="236" t="s">
        <v>191</v>
      </c>
      <c r="C202" s="245">
        <f t="shared" si="15"/>
        <v>-1127879</v>
      </c>
      <c r="D202" s="245">
        <f t="shared" si="16"/>
        <v>-930551</v>
      </c>
      <c r="E202" s="245">
        <f t="shared" si="17"/>
        <v>-890664</v>
      </c>
      <c r="F202" s="245">
        <f t="shared" si="18"/>
        <v>-511243</v>
      </c>
      <c r="G202" s="245">
        <f t="shared" si="19"/>
        <v>-639667</v>
      </c>
      <c r="I202" s="51"/>
      <c r="K202" s="156">
        <f>ROUND(VLOOKUP($A202,'Contribution Allocation_Report'!$A$9:$D$310,4,FALSE)*$K$323,0)</f>
        <v>-807581</v>
      </c>
      <c r="L202" s="156">
        <f>ROUND(VLOOKUP($A202,'Contribution Allocation_Report'!$A$9:$D$310,4,FALSE)*$L$323,0)</f>
        <v>-508216</v>
      </c>
      <c r="M202" s="156">
        <f>ROUND(VLOOKUP($A202,'Contribution Allocation_Report'!$A$9:$D$310,4,FALSE)*$M$323,0)</f>
        <v>-288759</v>
      </c>
      <c r="N202" s="156">
        <f>ROUND(VLOOKUP($A202,'Contribution Allocation_Report'!$A$9:$D$310,4,FALSE)*$N$323,0)</f>
        <v>-57419</v>
      </c>
      <c r="O202" s="246">
        <f>ROUND(VLOOKUP($A202,'Contribution Allocation_Report'!$A$9:$D$310,4,FALSE)*$O$323,0)</f>
        <v>-236151</v>
      </c>
      <c r="Q202" s="246">
        <f>+K202+VLOOKUP(A202,'Change in Proportion Layers'!$A$8:$I$321,3,FALSE)+VLOOKUP(A202,'Change in Proportion Layers'!$A$8:$V$321,10,FALSE)+VLOOKUP(A202,'Change in Proportion Layers'!$A$8:$V$321,16,FALSE)+VLOOKUP(A202,'Change in Proportion Layers'!$A$8:$V$321,21,FALSE)</f>
        <v>-1127879</v>
      </c>
      <c r="R202" s="246">
        <f>+L202+VLOOKUP(A202,'Change in Proportion Layers'!$A$8:$V$321,4,FALSE)+VLOOKUP(A202,'Change in Proportion Layers'!$A$8:$V$321,11,FALSE)+VLOOKUP(A202,'Change in Proportion Layers'!$A$8:$V$321,17,FALSE)+VLOOKUP(A202,'Change in Proportion Layers'!$A$8:$V$321,22,FALSE)</f>
        <v>-930551</v>
      </c>
      <c r="S202" s="246">
        <f>+M202+VLOOKUP(A202,'Change in Proportion Layers'!$A$8:$V$321,5,FALSE)+VLOOKUP(A202,'Change in Proportion Layers'!$A$8:$V$321,12,FALSE)+VLOOKUP(A202,'Change in Proportion Layers'!$A$8:$V$321,18,FALSE)</f>
        <v>-890664</v>
      </c>
      <c r="T202" s="246">
        <f>+N202+VLOOKUP(A202,'Change in Proportion Layers'!$A$8:$V$321,6,FALSE)+VLOOKUP(A202,'Change in Proportion Layers'!$A$8:$V$321,13,FALSE)</f>
        <v>-511243</v>
      </c>
      <c r="U202" s="246">
        <f>+O202+VLOOKUP(A202,'Change in Proportion Layers'!$A$8:$V$321,7,FALSE)+1</f>
        <v>-639667</v>
      </c>
      <c r="W202" s="246">
        <f>('OPEB Amounts_Report'!G202-'OPEB Amounts_Report'!M202)</f>
        <v>-4100004</v>
      </c>
      <c r="X202" s="282">
        <f>SUM(Q202:U202)-('OPEB Amounts_Report'!G202-'OPEB Amounts_Report'!M202)</f>
        <v>0</v>
      </c>
    </row>
    <row r="203" spans="1:24" s="8" customFormat="1">
      <c r="A203" s="237">
        <v>11035</v>
      </c>
      <c r="B203" s="238" t="s">
        <v>192</v>
      </c>
      <c r="C203" s="48">
        <f t="shared" ref="C203:C268" si="20">+Q203</f>
        <v>-1477390</v>
      </c>
      <c r="D203" s="48">
        <f t="shared" ref="D203:D268" si="21">+R203</f>
        <v>-770590</v>
      </c>
      <c r="E203" s="48">
        <f t="shared" ref="E203:E268" si="22">+S203</f>
        <v>-294051</v>
      </c>
      <c r="F203" s="48">
        <f t="shared" ref="F203:F268" si="23">+T203</f>
        <v>113965</v>
      </c>
      <c r="G203" s="48">
        <f t="shared" ref="G203:G268" si="24">+U203</f>
        <v>-434740</v>
      </c>
      <c r="I203" s="51"/>
      <c r="K203" s="156">
        <f>ROUND(VLOOKUP($A203,'Contribution Allocation_Report'!$A$9:$D$310,4,FALSE)*$K$323,0)</f>
        <v>-1865621</v>
      </c>
      <c r="L203" s="156">
        <f>ROUND(VLOOKUP($A203,'Contribution Allocation_Report'!$A$9:$D$310,4,FALSE)*$L$323,0)</f>
        <v>-1174046</v>
      </c>
      <c r="M203" s="156">
        <f>ROUND(VLOOKUP($A203,'Contribution Allocation_Report'!$A$9:$D$310,4,FALSE)*$M$323,0)</f>
        <v>-667072</v>
      </c>
      <c r="N203" s="156">
        <f>ROUND(VLOOKUP($A203,'Contribution Allocation_Report'!$A$9:$D$310,4,FALSE)*$N$323,0)</f>
        <v>-132646</v>
      </c>
      <c r="O203" s="246">
        <f>ROUND(VLOOKUP($A203,'Contribution Allocation_Report'!$A$9:$D$310,4,FALSE)*$O$323,0)</f>
        <v>-545541</v>
      </c>
      <c r="Q203" s="246">
        <f>+K203+VLOOKUP(A203,'Change in Proportion Layers'!$A$8:$I$321,3,FALSE)+VLOOKUP(A203,'Change in Proportion Layers'!$A$8:$V$321,10,FALSE)+VLOOKUP(A203,'Change in Proportion Layers'!$A$8:$V$321,16,FALSE)+VLOOKUP(A203,'Change in Proportion Layers'!$A$8:$V$321,21,FALSE)</f>
        <v>-1477390</v>
      </c>
      <c r="R203" s="246">
        <f>+L203+VLOOKUP(A203,'Change in Proportion Layers'!$A$8:$V$321,4,FALSE)+VLOOKUP(A203,'Change in Proportion Layers'!$A$8:$V$321,11,FALSE)+VLOOKUP(A203,'Change in Proportion Layers'!$A$8:$V$321,17,FALSE)+VLOOKUP(A203,'Change in Proportion Layers'!$A$8:$V$321,22,FALSE)</f>
        <v>-770590</v>
      </c>
      <c r="S203" s="246">
        <f>+M203+VLOOKUP(A203,'Change in Proportion Layers'!$A$8:$V$321,5,FALSE)+VLOOKUP(A203,'Change in Proportion Layers'!$A$8:$V$321,12,FALSE)+VLOOKUP(A203,'Change in Proportion Layers'!$A$8:$V$321,18,FALSE)</f>
        <v>-294051</v>
      </c>
      <c r="T203" s="246">
        <f>+N203+VLOOKUP(A203,'Change in Proportion Layers'!$A$8:$V$321,6,FALSE)+VLOOKUP(A203,'Change in Proportion Layers'!$A$8:$V$321,13,FALSE)</f>
        <v>113965</v>
      </c>
      <c r="U203" s="246">
        <f>+O203+VLOOKUP(A203,'Change in Proportion Layers'!$A$8:$V$321,7,FALSE)</f>
        <v>-434740</v>
      </c>
      <c r="W203" s="246">
        <f>('OPEB Amounts_Report'!G203-'OPEB Amounts_Report'!M203)</f>
        <v>-2862806</v>
      </c>
      <c r="X203" s="282">
        <f>SUM(Q203:U203)-('OPEB Amounts_Report'!G203-'OPEB Amounts_Report'!M203)</f>
        <v>0</v>
      </c>
    </row>
    <row r="204" spans="1:24" s="8" customFormat="1">
      <c r="A204" s="235">
        <v>2320</v>
      </c>
      <c r="B204" s="236" t="s">
        <v>193</v>
      </c>
      <c r="C204" s="245">
        <f t="shared" si="20"/>
        <v>-220987</v>
      </c>
      <c r="D204" s="245">
        <f t="shared" si="21"/>
        <v>-136330</v>
      </c>
      <c r="E204" s="245">
        <f t="shared" si="22"/>
        <v>-68360</v>
      </c>
      <c r="F204" s="245">
        <f t="shared" si="23"/>
        <v>912</v>
      </c>
      <c r="G204" s="245">
        <f t="shared" si="24"/>
        <v>-61727</v>
      </c>
      <c r="I204" s="51"/>
      <c r="K204" s="156">
        <f>ROUND(VLOOKUP($A204,'Contribution Allocation_Report'!$A$9:$D$310,4,FALSE)*$K$323,0)</f>
        <v>-224114</v>
      </c>
      <c r="L204" s="156">
        <f>ROUND(VLOOKUP($A204,'Contribution Allocation_Report'!$A$9:$D$310,4,FALSE)*$L$323,0)</f>
        <v>-141037</v>
      </c>
      <c r="M204" s="156">
        <f>ROUND(VLOOKUP($A204,'Contribution Allocation_Report'!$A$9:$D$310,4,FALSE)*$M$323,0)</f>
        <v>-80134</v>
      </c>
      <c r="N204" s="156">
        <f>ROUND(VLOOKUP($A204,'Contribution Allocation_Report'!$A$9:$D$310,4,FALSE)*$N$323,0)</f>
        <v>-15935</v>
      </c>
      <c r="O204" s="246">
        <f>ROUND(VLOOKUP($A204,'Contribution Allocation_Report'!$A$9:$D$310,4,FALSE)*$O$323,0)</f>
        <v>-65535</v>
      </c>
      <c r="Q204" s="246">
        <f>+K204+VLOOKUP(A204,'Change in Proportion Layers'!$A$8:$I$321,3,FALSE)+VLOOKUP(A204,'Change in Proportion Layers'!$A$8:$V$321,10,FALSE)+VLOOKUP(A204,'Change in Proportion Layers'!$A$8:$V$321,16,FALSE)+VLOOKUP(A204,'Change in Proportion Layers'!$A$8:$V$321,21,FALSE)</f>
        <v>-220987</v>
      </c>
      <c r="R204" s="246">
        <f>+L204+VLOOKUP(A204,'Change in Proportion Layers'!$A$8:$V$321,4,FALSE)+VLOOKUP(A204,'Change in Proportion Layers'!$A$8:$V$321,11,FALSE)+VLOOKUP(A204,'Change in Proportion Layers'!$A$8:$V$321,17,FALSE)+VLOOKUP(A204,'Change in Proportion Layers'!$A$8:$V$321,22,FALSE)</f>
        <v>-136330</v>
      </c>
      <c r="S204" s="246">
        <f>+M204+VLOOKUP(A204,'Change in Proportion Layers'!$A$8:$V$321,5,FALSE)+VLOOKUP(A204,'Change in Proportion Layers'!$A$8:$V$321,12,FALSE)+VLOOKUP(A204,'Change in Proportion Layers'!$A$8:$V$321,18,FALSE)</f>
        <v>-68360</v>
      </c>
      <c r="T204" s="246">
        <f>+N204+VLOOKUP(A204,'Change in Proportion Layers'!$A$8:$V$321,6,FALSE)+VLOOKUP(A204,'Change in Proportion Layers'!$A$8:$V$321,13,FALSE)</f>
        <v>912</v>
      </c>
      <c r="U204" s="246">
        <f>+O204+VLOOKUP(A204,'Change in Proportion Layers'!$A$8:$V$321,7,FALSE)</f>
        <v>-61727</v>
      </c>
      <c r="W204" s="246">
        <f>('OPEB Amounts_Report'!G204-'OPEB Amounts_Report'!M204)</f>
        <v>-486492</v>
      </c>
      <c r="X204" s="282">
        <f>SUM(Q204:U204)-('OPEB Amounts_Report'!G204-'OPEB Amounts_Report'!M204)</f>
        <v>0</v>
      </c>
    </row>
    <row r="205" spans="1:24" s="8" customFormat="1">
      <c r="A205" s="237">
        <v>28084</v>
      </c>
      <c r="B205" s="238" t="s">
        <v>194</v>
      </c>
      <c r="C205" s="48">
        <f t="shared" si="20"/>
        <v>-158130</v>
      </c>
      <c r="D205" s="48">
        <f t="shared" si="21"/>
        <v>-95741</v>
      </c>
      <c r="E205" s="48">
        <f t="shared" si="22"/>
        <v>-52257</v>
      </c>
      <c r="F205" s="48">
        <f t="shared" si="23"/>
        <v>5138</v>
      </c>
      <c r="G205" s="48">
        <f t="shared" si="24"/>
        <v>-40780</v>
      </c>
      <c r="I205" s="51"/>
      <c r="K205" s="156">
        <f>ROUND(VLOOKUP($A205,'Contribution Allocation_Report'!$A$9:$D$310,4,FALSE)*$K$323,0)</f>
        <v>-177192</v>
      </c>
      <c r="L205" s="156">
        <f>ROUND(VLOOKUP($A205,'Contribution Allocation_Report'!$A$9:$D$310,4,FALSE)*$L$323,0)</f>
        <v>-111508</v>
      </c>
      <c r="M205" s="156">
        <f>ROUND(VLOOKUP($A205,'Contribution Allocation_Report'!$A$9:$D$310,4,FALSE)*$M$323,0)</f>
        <v>-63357</v>
      </c>
      <c r="N205" s="156">
        <f>ROUND(VLOOKUP($A205,'Contribution Allocation_Report'!$A$9:$D$310,4,FALSE)*$N$323,0)</f>
        <v>-12598</v>
      </c>
      <c r="O205" s="246">
        <f>ROUND(VLOOKUP($A205,'Contribution Allocation_Report'!$A$9:$D$310,4,FALSE)*$O$323,0)</f>
        <v>-51814</v>
      </c>
      <c r="Q205" s="246">
        <f>+K205+VLOOKUP(A205,'Change in Proportion Layers'!$A$8:$I$321,3,FALSE)+VLOOKUP(A205,'Change in Proportion Layers'!$A$8:$V$321,10,FALSE)+VLOOKUP(A205,'Change in Proportion Layers'!$A$8:$V$321,16,FALSE)+VLOOKUP(A205,'Change in Proportion Layers'!$A$8:$V$321,21,FALSE)</f>
        <v>-158130</v>
      </c>
      <c r="R205" s="246">
        <f>+L205+VLOOKUP(A205,'Change in Proportion Layers'!$A$8:$V$321,4,FALSE)+VLOOKUP(A205,'Change in Proportion Layers'!$A$8:$V$321,11,FALSE)+VLOOKUP(A205,'Change in Proportion Layers'!$A$8:$V$321,17,FALSE)+VLOOKUP(A205,'Change in Proportion Layers'!$A$8:$V$321,22,FALSE)</f>
        <v>-95741</v>
      </c>
      <c r="S205" s="246">
        <f>+M205+VLOOKUP(A205,'Change in Proportion Layers'!$A$8:$V$321,5,FALSE)+VLOOKUP(A205,'Change in Proportion Layers'!$A$8:$V$321,12,FALSE)+VLOOKUP(A205,'Change in Proportion Layers'!$A$8:$V$321,18,FALSE)</f>
        <v>-52257</v>
      </c>
      <c r="T205" s="246">
        <f>+N205+VLOOKUP(A205,'Change in Proportion Layers'!$A$8:$V$321,6,FALSE)+VLOOKUP(A205,'Change in Proportion Layers'!$A$8:$V$321,13,FALSE)</f>
        <v>5138</v>
      </c>
      <c r="U205" s="246">
        <f>+O205+VLOOKUP(A205,'Change in Proportion Layers'!$A$8:$V$321,7,FALSE)</f>
        <v>-40780</v>
      </c>
      <c r="W205" s="246">
        <f>('OPEB Amounts_Report'!G205-'OPEB Amounts_Report'!M205)</f>
        <v>-341770</v>
      </c>
      <c r="X205" s="282">
        <f>SUM(Q205:U205)-('OPEB Amounts_Report'!G205-'OPEB Amounts_Report'!M205)</f>
        <v>0</v>
      </c>
    </row>
    <row r="206" spans="1:24" s="8" customFormat="1">
      <c r="A206" s="235">
        <v>20125</v>
      </c>
      <c r="B206" s="236" t="s">
        <v>195</v>
      </c>
      <c r="C206" s="245">
        <f t="shared" si="20"/>
        <v>-406863</v>
      </c>
      <c r="D206" s="245">
        <f t="shared" si="21"/>
        <v>-324958</v>
      </c>
      <c r="E206" s="245">
        <f t="shared" si="22"/>
        <v>-222879</v>
      </c>
      <c r="F206" s="245">
        <f t="shared" si="23"/>
        <v>-105053</v>
      </c>
      <c r="G206" s="245">
        <f t="shared" si="24"/>
        <v>-125339</v>
      </c>
      <c r="I206" s="51"/>
      <c r="K206" s="156">
        <f>ROUND(VLOOKUP($A206,'Contribution Allocation_Report'!$A$9:$D$310,4,FALSE)*$K$323,0)</f>
        <v>-207145</v>
      </c>
      <c r="L206" s="156">
        <f>ROUND(VLOOKUP($A206,'Contribution Allocation_Report'!$A$9:$D$310,4,FALSE)*$L$323,0)</f>
        <v>-130358</v>
      </c>
      <c r="M206" s="156">
        <f>ROUND(VLOOKUP($A206,'Contribution Allocation_Report'!$A$9:$D$310,4,FALSE)*$M$323,0)</f>
        <v>-74067</v>
      </c>
      <c r="N206" s="156">
        <f>ROUND(VLOOKUP($A206,'Contribution Allocation_Report'!$A$9:$D$310,4,FALSE)*$N$323,0)</f>
        <v>-14728</v>
      </c>
      <c r="O206" s="246">
        <f>ROUND(VLOOKUP($A206,'Contribution Allocation_Report'!$A$9:$D$310,4,FALSE)*$O$323,0)</f>
        <v>-60573</v>
      </c>
      <c r="Q206" s="246">
        <f>+K206+VLOOKUP(A206,'Change in Proportion Layers'!$A$8:$I$321,3,FALSE)+VLOOKUP(A206,'Change in Proportion Layers'!$A$8:$V$321,10,FALSE)+VLOOKUP(A206,'Change in Proportion Layers'!$A$8:$V$321,16,FALSE)+VLOOKUP(A206,'Change in Proportion Layers'!$A$8:$V$321,21,FALSE)</f>
        <v>-406863</v>
      </c>
      <c r="R206" s="246">
        <f>+L206+VLOOKUP(A206,'Change in Proportion Layers'!$A$8:$V$321,4,FALSE)+VLOOKUP(A206,'Change in Proportion Layers'!$A$8:$V$321,11,FALSE)+VLOOKUP(A206,'Change in Proportion Layers'!$A$8:$V$321,17,FALSE)+VLOOKUP(A206,'Change in Proportion Layers'!$A$8:$V$321,22,FALSE)</f>
        <v>-324958</v>
      </c>
      <c r="S206" s="246">
        <f>+M206+VLOOKUP(A206,'Change in Proportion Layers'!$A$8:$V$321,5,FALSE)+VLOOKUP(A206,'Change in Proportion Layers'!$A$8:$V$321,12,FALSE)+VLOOKUP(A206,'Change in Proportion Layers'!$A$8:$V$321,18,FALSE)</f>
        <v>-222879</v>
      </c>
      <c r="T206" s="246">
        <f>+N206+VLOOKUP(A206,'Change in Proportion Layers'!$A$8:$V$321,6,FALSE)+VLOOKUP(A206,'Change in Proportion Layers'!$A$8:$V$321,13,FALSE)</f>
        <v>-105053</v>
      </c>
      <c r="U206" s="246">
        <f>+O206+VLOOKUP(A206,'Change in Proportion Layers'!$A$8:$V$321,7,FALSE)-2</f>
        <v>-125339</v>
      </c>
      <c r="W206" s="246">
        <f>('OPEB Amounts_Report'!G206-'OPEB Amounts_Report'!M206)</f>
        <v>-1185092</v>
      </c>
      <c r="X206" s="282">
        <f>SUM(Q206:U206)-('OPEB Amounts_Report'!G206-'OPEB Amounts_Report'!M206)</f>
        <v>0</v>
      </c>
    </row>
    <row r="207" spans="1:24" s="217" customFormat="1">
      <c r="A207" s="237">
        <v>7445</v>
      </c>
      <c r="B207" s="238" t="s">
        <v>430</v>
      </c>
      <c r="C207" s="48">
        <f>+Q207</f>
        <v>37055</v>
      </c>
      <c r="D207" s="48">
        <f>+R207</f>
        <v>54623</v>
      </c>
      <c r="E207" s="48">
        <f>+S207</f>
        <v>67502</v>
      </c>
      <c r="F207" s="48">
        <f>+T207</f>
        <v>80174</v>
      </c>
      <c r="G207" s="48">
        <f>+U207</f>
        <v>24637</v>
      </c>
      <c r="I207" s="247"/>
      <c r="K207" s="246">
        <f>ROUND(VLOOKUP($A207,'Contribution Allocation_Report'!$A$9:$D$310,4,FALSE)*$K$323,0)</f>
        <v>-47392</v>
      </c>
      <c r="L207" s="246">
        <f>ROUND(VLOOKUP($A207,'Contribution Allocation_Report'!$A$9:$D$310,4,FALSE)*$L$323,0)</f>
        <v>-29824</v>
      </c>
      <c r="M207" s="246">
        <f>ROUND(VLOOKUP($A207,'Contribution Allocation_Report'!$A$9:$D$310,4,FALSE)*$M$323,0)</f>
        <v>-16945</v>
      </c>
      <c r="N207" s="246">
        <f>ROUND(VLOOKUP($A207,'Contribution Allocation_Report'!$A$9:$D$310,4,FALSE)*$N$323,0)</f>
        <v>-3370</v>
      </c>
      <c r="O207" s="246">
        <f>ROUND(VLOOKUP($A207,'Contribution Allocation_Report'!$A$9:$D$310,4,FALSE)*$O$323,0)</f>
        <v>-13858</v>
      </c>
      <c r="Q207" s="246">
        <f>+K207+VLOOKUP(A207,'Change in Proportion Layers'!$A$8:$I$321,3,FALSE)+VLOOKUP(A207,'Change in Proportion Layers'!$A$8:$V$321,10,FALSE)+VLOOKUP(A207,'Change in Proportion Layers'!$A$8:$V$321,16,FALSE)+VLOOKUP(A207,'Change in Proportion Layers'!$A$8:$V$321,21,FALSE)</f>
        <v>37055</v>
      </c>
      <c r="R207" s="246">
        <f>+L207+VLOOKUP(A207,'Change in Proportion Layers'!$A$8:$V$321,4,FALSE)+VLOOKUP(A207,'Change in Proportion Layers'!$A$8:$V$321,11,FALSE)+VLOOKUP(A207,'Change in Proportion Layers'!$A$8:$V$321,17,FALSE)+VLOOKUP(A207,'Change in Proportion Layers'!$A$8:$V$321,22,FALSE)</f>
        <v>54623</v>
      </c>
      <c r="S207" s="246">
        <f>+M207+VLOOKUP(A207,'Change in Proportion Layers'!$A$8:$V$321,5,FALSE)+VLOOKUP(A207,'Change in Proportion Layers'!$A$8:$V$321,12,FALSE)+VLOOKUP(A207,'Change in Proportion Layers'!$A$8:$V$321,18,FALSE)</f>
        <v>67502</v>
      </c>
      <c r="T207" s="246">
        <f>+N207+VLOOKUP(A207,'Change in Proportion Layers'!$A$8:$V$321,6,FALSE)+VLOOKUP(A207,'Change in Proportion Layers'!$A$8:$V$321,13,FALSE)</f>
        <v>80174</v>
      </c>
      <c r="U207" s="246">
        <f>+O207+VLOOKUP(A207,'Change in Proportion Layers'!$A$8:$V$321,7,FALSE)+1</f>
        <v>24637</v>
      </c>
      <c r="W207" s="246">
        <f>('OPEB Amounts_Report'!G207-'OPEB Amounts_Report'!M207)</f>
        <v>263991</v>
      </c>
      <c r="X207" s="282">
        <f>SUM(Q207:U207)-('OPEB Amounts_Report'!G207-'OPEB Amounts_Report'!M207)</f>
        <v>0</v>
      </c>
    </row>
    <row r="208" spans="1:24" s="8" customFormat="1">
      <c r="A208" s="235">
        <v>4170</v>
      </c>
      <c r="B208" s="236" t="s">
        <v>196</v>
      </c>
      <c r="C208" s="245">
        <f t="shared" si="20"/>
        <v>-51941</v>
      </c>
      <c r="D208" s="245">
        <f t="shared" si="21"/>
        <v>-45603</v>
      </c>
      <c r="E208" s="245">
        <f t="shared" si="22"/>
        <v>-40212</v>
      </c>
      <c r="F208" s="245">
        <f t="shared" si="23"/>
        <v>-44454</v>
      </c>
      <c r="G208" s="245">
        <f t="shared" si="24"/>
        <v>-45822</v>
      </c>
      <c r="I208" s="51"/>
      <c r="K208" s="156">
        <f>ROUND(VLOOKUP($A208,'Contribution Allocation_Report'!$A$9:$D$310,4,FALSE)*$K$323,0)</f>
        <v>-10125</v>
      </c>
      <c r="L208" s="156">
        <f>ROUND(VLOOKUP($A208,'Contribution Allocation_Report'!$A$9:$D$310,4,FALSE)*$L$323,0)</f>
        <v>-6372</v>
      </c>
      <c r="M208" s="156">
        <f>ROUND(VLOOKUP($A208,'Contribution Allocation_Report'!$A$9:$D$310,4,FALSE)*$M$323,0)</f>
        <v>-3620</v>
      </c>
      <c r="N208" s="156">
        <f>ROUND(VLOOKUP($A208,'Contribution Allocation_Report'!$A$9:$D$310,4,FALSE)*$N$323,0)</f>
        <v>-720</v>
      </c>
      <c r="O208" s="246">
        <f>ROUND(VLOOKUP($A208,'Contribution Allocation_Report'!$A$9:$D$310,4,FALSE)*$O$323,0)</f>
        <v>-2961</v>
      </c>
      <c r="Q208" s="246">
        <f>+K208+VLOOKUP(A208,'Change in Proportion Layers'!$A$8:$I$321,3,FALSE)+VLOOKUP(A208,'Change in Proportion Layers'!$A$8:$V$321,10,FALSE)+VLOOKUP(A208,'Change in Proportion Layers'!$A$8:$V$321,16,FALSE)+VLOOKUP(A208,'Change in Proportion Layers'!$A$8:$V$321,21,FALSE)</f>
        <v>-51941</v>
      </c>
      <c r="R208" s="246">
        <f>+L208+VLOOKUP(A208,'Change in Proportion Layers'!$A$8:$V$321,4,FALSE)+VLOOKUP(A208,'Change in Proportion Layers'!$A$8:$V$321,11,FALSE)+VLOOKUP(A208,'Change in Proportion Layers'!$A$8:$V$321,17,FALSE)+VLOOKUP(A208,'Change in Proportion Layers'!$A$8:$V$321,22,FALSE)</f>
        <v>-45603</v>
      </c>
      <c r="S208" s="246">
        <f>+M208+VLOOKUP(A208,'Change in Proportion Layers'!$A$8:$V$321,5,FALSE)+VLOOKUP(A208,'Change in Proportion Layers'!$A$8:$V$321,12,FALSE)+VLOOKUP(A208,'Change in Proportion Layers'!$A$8:$V$321,18,FALSE)</f>
        <v>-40212</v>
      </c>
      <c r="T208" s="246">
        <f>+N208+VLOOKUP(A208,'Change in Proportion Layers'!$A$8:$V$321,6,FALSE)+VLOOKUP(A208,'Change in Proportion Layers'!$A$8:$V$321,13,FALSE)</f>
        <v>-44454</v>
      </c>
      <c r="U208" s="246">
        <f>+O208+VLOOKUP(A208,'Change in Proportion Layers'!$A$8:$V$321,7,FALSE)</f>
        <v>-45822</v>
      </c>
      <c r="W208" s="246">
        <f>('OPEB Amounts_Report'!G208-'OPEB Amounts_Report'!M208)</f>
        <v>-228032</v>
      </c>
      <c r="X208" s="282">
        <f>SUM(Q208:U208)-('OPEB Amounts_Report'!G208-'OPEB Amounts_Report'!M208)</f>
        <v>0</v>
      </c>
    </row>
    <row r="209" spans="1:24" s="8" customFormat="1">
      <c r="A209" s="237">
        <v>9029</v>
      </c>
      <c r="B209" s="238" t="s">
        <v>197</v>
      </c>
      <c r="C209" s="48">
        <f t="shared" si="20"/>
        <v>-702634</v>
      </c>
      <c r="D209" s="48">
        <f t="shared" si="21"/>
        <v>-453539</v>
      </c>
      <c r="E209" s="48">
        <f t="shared" si="22"/>
        <v>-122046</v>
      </c>
      <c r="F209" s="48">
        <f t="shared" si="23"/>
        <v>148592</v>
      </c>
      <c r="G209" s="48">
        <f t="shared" si="24"/>
        <v>-157405</v>
      </c>
      <c r="I209" s="51"/>
      <c r="K209" s="156">
        <f>ROUND(VLOOKUP($A209,'Contribution Allocation_Report'!$A$9:$D$310,4,FALSE)*$K$323,0)</f>
        <v>-549950</v>
      </c>
      <c r="L209" s="156">
        <f>ROUND(VLOOKUP($A209,'Contribution Allocation_Report'!$A$9:$D$310,4,FALSE)*$L$323,0)</f>
        <v>-346087</v>
      </c>
      <c r="M209" s="156">
        <f>ROUND(VLOOKUP($A209,'Contribution Allocation_Report'!$A$9:$D$310,4,FALSE)*$M$323,0)</f>
        <v>-196640</v>
      </c>
      <c r="N209" s="156">
        <f>ROUND(VLOOKUP($A209,'Contribution Allocation_Report'!$A$9:$D$310,4,FALSE)*$N$323,0)</f>
        <v>-39101</v>
      </c>
      <c r="O209" s="246">
        <f>ROUND(VLOOKUP($A209,'Contribution Allocation_Report'!$A$9:$D$310,4,FALSE)*$O$323,0)</f>
        <v>-160815</v>
      </c>
      <c r="Q209" s="246">
        <f>+K209+VLOOKUP(A209,'Change in Proportion Layers'!$A$8:$I$321,3,FALSE)+VLOOKUP(A209,'Change in Proportion Layers'!$A$8:$V$321,10,FALSE)+VLOOKUP(A209,'Change in Proportion Layers'!$A$8:$V$321,16,FALSE)+VLOOKUP(A209,'Change in Proportion Layers'!$A$8:$V$321,21,FALSE)</f>
        <v>-702634</v>
      </c>
      <c r="R209" s="246">
        <f>+L209+VLOOKUP(A209,'Change in Proportion Layers'!$A$8:$V$321,4,FALSE)+VLOOKUP(A209,'Change in Proportion Layers'!$A$8:$V$321,11,FALSE)+VLOOKUP(A209,'Change in Proportion Layers'!$A$8:$V$321,17,FALSE)+VLOOKUP(A209,'Change in Proportion Layers'!$A$8:$V$321,22,FALSE)</f>
        <v>-453539</v>
      </c>
      <c r="S209" s="246">
        <f>+M209+VLOOKUP(A209,'Change in Proportion Layers'!$A$8:$V$321,5,FALSE)+VLOOKUP(A209,'Change in Proportion Layers'!$A$8:$V$321,12,FALSE)+VLOOKUP(A209,'Change in Proportion Layers'!$A$8:$V$321,18,FALSE)</f>
        <v>-122046</v>
      </c>
      <c r="T209" s="246">
        <f>+N209+VLOOKUP(A209,'Change in Proportion Layers'!$A$8:$V$321,6,FALSE)+VLOOKUP(A209,'Change in Proportion Layers'!$A$8:$V$321,13,FALSE)</f>
        <v>148592</v>
      </c>
      <c r="U209" s="246">
        <f>+O209+VLOOKUP(A209,'Change in Proportion Layers'!$A$8:$V$321,7,FALSE)-1</f>
        <v>-157405</v>
      </c>
      <c r="W209" s="246">
        <f>('OPEB Amounts_Report'!G209-'OPEB Amounts_Report'!M209)</f>
        <v>-1287032</v>
      </c>
      <c r="X209" s="282">
        <f>SUM(Q209:U209)-('OPEB Amounts_Report'!G209-'OPEB Amounts_Report'!M209)</f>
        <v>0</v>
      </c>
    </row>
    <row r="210" spans="1:24" s="8" customFormat="1">
      <c r="A210" s="235">
        <v>2580</v>
      </c>
      <c r="B210" s="236" t="s">
        <v>198</v>
      </c>
      <c r="C210" s="245">
        <f t="shared" si="20"/>
        <v>-90058</v>
      </c>
      <c r="D210" s="245">
        <f t="shared" si="21"/>
        <v>-62960</v>
      </c>
      <c r="E210" s="245">
        <f t="shared" si="22"/>
        <v>-49017</v>
      </c>
      <c r="F210" s="245">
        <f t="shared" si="23"/>
        <v>-28417</v>
      </c>
      <c r="G210" s="245">
        <f t="shared" si="24"/>
        <v>-26700</v>
      </c>
      <c r="I210" s="51"/>
      <c r="K210" s="156">
        <f>ROUND(VLOOKUP($A210,'Contribution Allocation_Report'!$A$9:$D$310,4,FALSE)*$K$323,0)</f>
        <v>-79642</v>
      </c>
      <c r="L210" s="156">
        <f>ROUND(VLOOKUP($A210,'Contribution Allocation_Report'!$A$9:$D$310,4,FALSE)*$L$323,0)</f>
        <v>-50119</v>
      </c>
      <c r="M210" s="156">
        <f>ROUND(VLOOKUP($A210,'Contribution Allocation_Report'!$A$9:$D$310,4,FALSE)*$M$323,0)</f>
        <v>-28477</v>
      </c>
      <c r="N210" s="156">
        <f>ROUND(VLOOKUP($A210,'Contribution Allocation_Report'!$A$9:$D$310,4,FALSE)*$N$323,0)</f>
        <v>-5663</v>
      </c>
      <c r="O210" s="246">
        <f>ROUND(VLOOKUP($A210,'Contribution Allocation_Report'!$A$9:$D$310,4,FALSE)*$O$323,0)</f>
        <v>-23289</v>
      </c>
      <c r="Q210" s="246">
        <f>+K210+VLOOKUP(A210,'Change in Proportion Layers'!$A$8:$I$321,3,FALSE)+VLOOKUP(A210,'Change in Proportion Layers'!$A$8:$V$321,10,FALSE)+VLOOKUP(A210,'Change in Proportion Layers'!$A$8:$V$321,16,FALSE)+VLOOKUP(A210,'Change in Proportion Layers'!$A$8:$V$321,21,FALSE)</f>
        <v>-90058</v>
      </c>
      <c r="R210" s="246">
        <f>+L210+VLOOKUP(A210,'Change in Proportion Layers'!$A$8:$V$321,4,FALSE)+VLOOKUP(A210,'Change in Proportion Layers'!$A$8:$V$321,11,FALSE)+VLOOKUP(A210,'Change in Proportion Layers'!$A$8:$V$321,17,FALSE)+VLOOKUP(A210,'Change in Proportion Layers'!$A$8:$V$321,22,FALSE)</f>
        <v>-62960</v>
      </c>
      <c r="S210" s="246">
        <f>+M210+VLOOKUP(A210,'Change in Proportion Layers'!$A$8:$V$321,5,FALSE)+VLOOKUP(A210,'Change in Proportion Layers'!$A$8:$V$321,12,FALSE)+VLOOKUP(A210,'Change in Proportion Layers'!$A$8:$V$321,18,FALSE)</f>
        <v>-49017</v>
      </c>
      <c r="T210" s="246">
        <f>+N210+VLOOKUP(A210,'Change in Proportion Layers'!$A$8:$V$321,6,FALSE)+VLOOKUP(A210,'Change in Proportion Layers'!$A$8:$V$321,13,FALSE)</f>
        <v>-28417</v>
      </c>
      <c r="U210" s="246">
        <f>+O210+VLOOKUP(A210,'Change in Proportion Layers'!$A$8:$V$321,7,FALSE)</f>
        <v>-26700</v>
      </c>
      <c r="W210" s="246">
        <f>('OPEB Amounts_Report'!G210-'OPEB Amounts_Report'!M210)</f>
        <v>-257152</v>
      </c>
      <c r="X210" s="282">
        <f>SUM(Q210:U210)-('OPEB Amounts_Report'!G210-'OPEB Amounts_Report'!M210)</f>
        <v>0</v>
      </c>
    </row>
    <row r="211" spans="1:24" s="8" customFormat="1">
      <c r="A211" s="237">
        <v>20312</v>
      </c>
      <c r="B211" s="238" t="s">
        <v>199</v>
      </c>
      <c r="C211" s="48">
        <f t="shared" si="20"/>
        <v>-42608</v>
      </c>
      <c r="D211" s="48">
        <f t="shared" si="21"/>
        <v>-17919</v>
      </c>
      <c r="E211" s="48">
        <f t="shared" si="22"/>
        <v>-582</v>
      </c>
      <c r="F211" s="48">
        <f t="shared" si="23"/>
        <v>7634</v>
      </c>
      <c r="G211" s="48">
        <f t="shared" si="24"/>
        <v>-8422</v>
      </c>
      <c r="I211" s="51"/>
      <c r="K211" s="156">
        <f>ROUND(VLOOKUP($A211,'Contribution Allocation_Report'!$A$9:$D$310,4,FALSE)*$K$323,0)</f>
        <v>-60283</v>
      </c>
      <c r="L211" s="156">
        <f>ROUND(VLOOKUP($A211,'Contribution Allocation_Report'!$A$9:$D$310,4,FALSE)*$L$323,0)</f>
        <v>-37936</v>
      </c>
      <c r="M211" s="156">
        <f>ROUND(VLOOKUP($A211,'Contribution Allocation_Report'!$A$9:$D$310,4,FALSE)*$M$323,0)</f>
        <v>-21555</v>
      </c>
      <c r="N211" s="156">
        <f>ROUND(VLOOKUP($A211,'Contribution Allocation_Report'!$A$9:$D$310,4,FALSE)*$N$323,0)</f>
        <v>-4286</v>
      </c>
      <c r="O211" s="246">
        <f>ROUND(VLOOKUP($A211,'Contribution Allocation_Report'!$A$9:$D$310,4,FALSE)*$O$323,0)</f>
        <v>-17628</v>
      </c>
      <c r="Q211" s="246">
        <f>+K211+VLOOKUP(A211,'Change in Proportion Layers'!$A$8:$I$321,3,FALSE)+VLOOKUP(A211,'Change in Proportion Layers'!$A$8:$V$321,10,FALSE)+VLOOKUP(A211,'Change in Proportion Layers'!$A$8:$V$321,16,FALSE)+VLOOKUP(A211,'Change in Proportion Layers'!$A$8:$V$321,21,FALSE)</f>
        <v>-42608</v>
      </c>
      <c r="R211" s="246">
        <f>+L211+VLOOKUP(A211,'Change in Proportion Layers'!$A$8:$V$321,4,FALSE)+VLOOKUP(A211,'Change in Proportion Layers'!$A$8:$V$321,11,FALSE)+VLOOKUP(A211,'Change in Proportion Layers'!$A$8:$V$321,17,FALSE)+VLOOKUP(A211,'Change in Proportion Layers'!$A$8:$V$321,22,FALSE)</f>
        <v>-17919</v>
      </c>
      <c r="S211" s="246">
        <f>+M211+VLOOKUP(A211,'Change in Proportion Layers'!$A$8:$V$321,5,FALSE)+VLOOKUP(A211,'Change in Proportion Layers'!$A$8:$V$321,12,FALSE)+VLOOKUP(A211,'Change in Proportion Layers'!$A$8:$V$321,18,FALSE)</f>
        <v>-582</v>
      </c>
      <c r="T211" s="246">
        <f>+N211+VLOOKUP(A211,'Change in Proportion Layers'!$A$8:$V$321,6,FALSE)+VLOOKUP(A211,'Change in Proportion Layers'!$A$8:$V$321,13,FALSE)</f>
        <v>7634</v>
      </c>
      <c r="U211" s="246">
        <f>+O211+VLOOKUP(A211,'Change in Proportion Layers'!$A$8:$V$321,7,FALSE)</f>
        <v>-8422</v>
      </c>
      <c r="W211" s="246">
        <f>('OPEB Amounts_Report'!G211-'OPEB Amounts_Report'!M211)</f>
        <v>-61897</v>
      </c>
      <c r="X211" s="282">
        <f>SUM(Q211:U211)-('OPEB Amounts_Report'!G211-'OPEB Amounts_Report'!M211)</f>
        <v>0</v>
      </c>
    </row>
    <row r="212" spans="1:24" s="8" customFormat="1">
      <c r="A212" s="235">
        <v>26150</v>
      </c>
      <c r="B212" s="236" t="s">
        <v>200</v>
      </c>
      <c r="C212" s="245">
        <f t="shared" si="20"/>
        <v>-170500</v>
      </c>
      <c r="D212" s="245">
        <f t="shared" si="21"/>
        <v>-50584</v>
      </c>
      <c r="E212" s="245">
        <f t="shared" si="22"/>
        <v>-64677</v>
      </c>
      <c r="F212" s="245">
        <f t="shared" si="23"/>
        <v>-42553</v>
      </c>
      <c r="G212" s="245">
        <f t="shared" si="24"/>
        <v>-131305</v>
      </c>
      <c r="I212" s="51"/>
      <c r="K212" s="156">
        <f>ROUND(VLOOKUP($A212,'Contribution Allocation_Report'!$A$9:$D$310,4,FALSE)*$K$323,0)</f>
        <v>-397462</v>
      </c>
      <c r="L212" s="156">
        <f>ROUND(VLOOKUP($A212,'Contribution Allocation_Report'!$A$9:$D$310,4,FALSE)*$L$323,0)</f>
        <v>-250125</v>
      </c>
      <c r="M212" s="156">
        <f>ROUND(VLOOKUP($A212,'Contribution Allocation_Report'!$A$9:$D$310,4,FALSE)*$M$323,0)</f>
        <v>-142117</v>
      </c>
      <c r="N212" s="156">
        <f>ROUND(VLOOKUP($A212,'Contribution Allocation_Report'!$A$9:$D$310,4,FALSE)*$N$323,0)</f>
        <v>-28260</v>
      </c>
      <c r="O212" s="246">
        <f>ROUND(VLOOKUP($A212,'Contribution Allocation_Report'!$A$9:$D$310,4,FALSE)*$O$323,0)</f>
        <v>-116225</v>
      </c>
      <c r="Q212" s="246">
        <f>+K212+VLOOKUP(A212,'Change in Proportion Layers'!$A$8:$I$321,3,FALSE)+VLOOKUP(A212,'Change in Proportion Layers'!$A$8:$V$321,10,FALSE)+VLOOKUP(A212,'Change in Proportion Layers'!$A$8:$V$321,16,FALSE)+VLOOKUP(A212,'Change in Proportion Layers'!$A$8:$V$321,21,FALSE)</f>
        <v>-170500</v>
      </c>
      <c r="R212" s="246">
        <f>+L212+VLOOKUP(A212,'Change in Proportion Layers'!$A$8:$V$321,4,FALSE)+VLOOKUP(A212,'Change in Proportion Layers'!$A$8:$V$321,11,FALSE)+VLOOKUP(A212,'Change in Proportion Layers'!$A$8:$V$321,17,FALSE)+VLOOKUP(A212,'Change in Proportion Layers'!$A$8:$V$321,22,FALSE)</f>
        <v>-50584</v>
      </c>
      <c r="S212" s="246">
        <f>+M212+VLOOKUP(A212,'Change in Proportion Layers'!$A$8:$V$321,5,FALSE)+VLOOKUP(A212,'Change in Proportion Layers'!$A$8:$V$321,12,FALSE)+VLOOKUP(A212,'Change in Proportion Layers'!$A$8:$V$321,18,FALSE)</f>
        <v>-64677</v>
      </c>
      <c r="T212" s="246">
        <f>+N212+VLOOKUP(A212,'Change in Proportion Layers'!$A$8:$V$321,6,FALSE)+VLOOKUP(A212,'Change in Proportion Layers'!$A$8:$V$321,13,FALSE)</f>
        <v>-42553</v>
      </c>
      <c r="U212" s="246">
        <f>+O212+VLOOKUP(A212,'Change in Proportion Layers'!$A$8:$V$321,7,FALSE)</f>
        <v>-131305</v>
      </c>
      <c r="W212" s="246">
        <f>('OPEB Amounts_Report'!G212-'OPEB Amounts_Report'!M212)</f>
        <v>-459619</v>
      </c>
      <c r="X212" s="282">
        <f>SUM(Q212:U212)-('OPEB Amounts_Report'!G212-'OPEB Amounts_Report'!M212)</f>
        <v>0</v>
      </c>
    </row>
    <row r="213" spans="1:24" s="8" customFormat="1">
      <c r="A213" s="237">
        <v>5016</v>
      </c>
      <c r="B213" s="238" t="s">
        <v>201</v>
      </c>
      <c r="C213" s="48">
        <f t="shared" si="20"/>
        <v>-50539</v>
      </c>
      <c r="D213" s="48">
        <f t="shared" si="21"/>
        <v>-39560</v>
      </c>
      <c r="E213" s="48">
        <f t="shared" si="22"/>
        <v>-38005</v>
      </c>
      <c r="F213" s="48">
        <f t="shared" si="23"/>
        <v>-16156</v>
      </c>
      <c r="G213" s="48">
        <f t="shared" si="24"/>
        <v>-13316</v>
      </c>
      <c r="I213" s="51"/>
      <c r="K213" s="156">
        <f>ROUND(VLOOKUP($A213,'Contribution Allocation_Report'!$A$9:$D$310,4,FALSE)*$K$323,0)</f>
        <v>-46079</v>
      </c>
      <c r="L213" s="156">
        <f>ROUND(VLOOKUP($A213,'Contribution Allocation_Report'!$A$9:$D$310,4,FALSE)*$L$323,0)</f>
        <v>-28998</v>
      </c>
      <c r="M213" s="156">
        <f>ROUND(VLOOKUP($A213,'Contribution Allocation_Report'!$A$9:$D$310,4,FALSE)*$M$323,0)</f>
        <v>-16476</v>
      </c>
      <c r="N213" s="156">
        <f>ROUND(VLOOKUP($A213,'Contribution Allocation_Report'!$A$9:$D$310,4,FALSE)*$N$323,0)</f>
        <v>-3276</v>
      </c>
      <c r="O213" s="246">
        <f>ROUND(VLOOKUP($A213,'Contribution Allocation_Report'!$A$9:$D$310,4,FALSE)*$O$323,0)</f>
        <v>-13474</v>
      </c>
      <c r="Q213" s="246">
        <f>+K213+VLOOKUP(A213,'Change in Proportion Layers'!$A$8:$I$321,3,FALSE)+VLOOKUP(A213,'Change in Proportion Layers'!$A$8:$V$321,10,FALSE)+VLOOKUP(A213,'Change in Proportion Layers'!$A$8:$V$321,16,FALSE)+VLOOKUP(A213,'Change in Proportion Layers'!$A$8:$V$321,21,FALSE)</f>
        <v>-50539</v>
      </c>
      <c r="R213" s="246">
        <f>+L213+VLOOKUP(A213,'Change in Proportion Layers'!$A$8:$V$321,4,FALSE)+VLOOKUP(A213,'Change in Proportion Layers'!$A$8:$V$321,11,FALSE)+VLOOKUP(A213,'Change in Proportion Layers'!$A$8:$V$321,17,FALSE)+VLOOKUP(A213,'Change in Proportion Layers'!$A$8:$V$321,22,FALSE)</f>
        <v>-39560</v>
      </c>
      <c r="S213" s="246">
        <f>+M213+VLOOKUP(A213,'Change in Proportion Layers'!$A$8:$V$321,5,FALSE)+VLOOKUP(A213,'Change in Proportion Layers'!$A$8:$V$321,12,FALSE)+VLOOKUP(A213,'Change in Proportion Layers'!$A$8:$V$321,18,FALSE)</f>
        <v>-38005</v>
      </c>
      <c r="T213" s="246">
        <f>+N213+VLOOKUP(A213,'Change in Proportion Layers'!$A$8:$V$321,6,FALSE)+VLOOKUP(A213,'Change in Proportion Layers'!$A$8:$V$321,13,FALSE)</f>
        <v>-16156</v>
      </c>
      <c r="U213" s="246">
        <f>+O213+VLOOKUP(A213,'Change in Proportion Layers'!$A$8:$V$321,7,FALSE)-1</f>
        <v>-13316</v>
      </c>
      <c r="W213" s="246">
        <f>('OPEB Amounts_Report'!G213-'OPEB Amounts_Report'!M213)</f>
        <v>-157576</v>
      </c>
      <c r="X213" s="282">
        <f>SUM(Q213:U213)-('OPEB Amounts_Report'!G213-'OPEB Amounts_Report'!M213)</f>
        <v>0</v>
      </c>
    </row>
    <row r="214" spans="1:24" s="8" customFormat="1">
      <c r="A214" s="235">
        <v>6150</v>
      </c>
      <c r="B214" s="236" t="s">
        <v>202</v>
      </c>
      <c r="C214" s="245">
        <f t="shared" si="20"/>
        <v>24166</v>
      </c>
      <c r="D214" s="245">
        <f t="shared" si="21"/>
        <v>27533</v>
      </c>
      <c r="E214" s="245">
        <f t="shared" si="22"/>
        <v>4332</v>
      </c>
      <c r="F214" s="245">
        <f t="shared" si="23"/>
        <v>4664</v>
      </c>
      <c r="G214" s="245">
        <f t="shared" si="24"/>
        <v>-19121</v>
      </c>
      <c r="I214" s="51"/>
      <c r="K214" s="156">
        <f>ROUND(VLOOKUP($A214,'Contribution Allocation_Report'!$A$9:$D$310,4,FALSE)*$K$323,0)</f>
        <v>-38251</v>
      </c>
      <c r="L214" s="156">
        <f>ROUND(VLOOKUP($A214,'Contribution Allocation_Report'!$A$9:$D$310,4,FALSE)*$L$323,0)</f>
        <v>-24072</v>
      </c>
      <c r="M214" s="156">
        <f>ROUND(VLOOKUP($A214,'Contribution Allocation_Report'!$A$9:$D$310,4,FALSE)*$M$323,0)</f>
        <v>-13677</v>
      </c>
      <c r="N214" s="156">
        <f>ROUND(VLOOKUP($A214,'Contribution Allocation_Report'!$A$9:$D$310,4,FALSE)*$N$323,0)</f>
        <v>-2720</v>
      </c>
      <c r="O214" s="246">
        <f>ROUND(VLOOKUP($A214,'Contribution Allocation_Report'!$A$9:$D$310,4,FALSE)*$O$323,0)</f>
        <v>-11185</v>
      </c>
      <c r="Q214" s="246">
        <f>+K214+VLOOKUP(A214,'Change in Proportion Layers'!$A$8:$I$321,3,FALSE)+VLOOKUP(A214,'Change in Proportion Layers'!$A$8:$V$321,10,FALSE)+VLOOKUP(A214,'Change in Proportion Layers'!$A$8:$V$321,16,FALSE)+VLOOKUP(A214,'Change in Proportion Layers'!$A$8:$V$321,21,FALSE)</f>
        <v>24166</v>
      </c>
      <c r="R214" s="246">
        <f>+L214+VLOOKUP(A214,'Change in Proportion Layers'!$A$8:$V$321,4,FALSE)+VLOOKUP(A214,'Change in Proportion Layers'!$A$8:$V$321,11,FALSE)+VLOOKUP(A214,'Change in Proportion Layers'!$A$8:$V$321,17,FALSE)+VLOOKUP(A214,'Change in Proportion Layers'!$A$8:$V$321,22,FALSE)</f>
        <v>27533</v>
      </c>
      <c r="S214" s="246">
        <f>+M214+VLOOKUP(A214,'Change in Proportion Layers'!$A$8:$V$321,5,FALSE)+VLOOKUP(A214,'Change in Proportion Layers'!$A$8:$V$321,12,FALSE)+VLOOKUP(A214,'Change in Proportion Layers'!$A$8:$V$321,18,FALSE)</f>
        <v>4332</v>
      </c>
      <c r="T214" s="246">
        <f>+N214+VLOOKUP(A214,'Change in Proportion Layers'!$A$8:$V$321,6,FALSE)+VLOOKUP(A214,'Change in Proportion Layers'!$A$8:$V$321,13,FALSE)</f>
        <v>4664</v>
      </c>
      <c r="U214" s="246">
        <f>+O214+VLOOKUP(A214,'Change in Proportion Layers'!$A$8:$V$321,7,FALSE)+1</f>
        <v>-19121</v>
      </c>
      <c r="W214" s="246">
        <f>('OPEB Amounts_Report'!G214-'OPEB Amounts_Report'!M214)</f>
        <v>41574</v>
      </c>
      <c r="X214" s="282">
        <f>SUM(Q214:U214)-('OPEB Amounts_Report'!G214-'OPEB Amounts_Report'!M214)</f>
        <v>0</v>
      </c>
    </row>
    <row r="215" spans="1:24" s="8" customFormat="1">
      <c r="A215" s="237">
        <v>4480</v>
      </c>
      <c r="B215" s="238" t="s">
        <v>203</v>
      </c>
      <c r="C215" s="48">
        <f t="shared" si="20"/>
        <v>-100211</v>
      </c>
      <c r="D215" s="48">
        <f t="shared" si="21"/>
        <v>-70286</v>
      </c>
      <c r="E215" s="48">
        <f t="shared" si="22"/>
        <v>-49503</v>
      </c>
      <c r="F215" s="48">
        <f t="shared" si="23"/>
        <v>-31537</v>
      </c>
      <c r="G215" s="48">
        <f t="shared" si="24"/>
        <v>-38992</v>
      </c>
      <c r="I215" s="51"/>
      <c r="K215" s="156">
        <f>ROUND(VLOOKUP($A215,'Contribution Allocation_Report'!$A$9:$D$310,4,FALSE)*$K$323,0)</f>
        <v>-78517</v>
      </c>
      <c r="L215" s="156">
        <f>ROUND(VLOOKUP($A215,'Contribution Allocation_Report'!$A$9:$D$310,4,FALSE)*$L$323,0)</f>
        <v>-49411</v>
      </c>
      <c r="M215" s="156">
        <f>ROUND(VLOOKUP($A215,'Contribution Allocation_Report'!$A$9:$D$310,4,FALSE)*$M$323,0)</f>
        <v>-28075</v>
      </c>
      <c r="N215" s="156">
        <f>ROUND(VLOOKUP($A215,'Contribution Allocation_Report'!$A$9:$D$310,4,FALSE)*$N$323,0)</f>
        <v>-5583</v>
      </c>
      <c r="O215" s="246">
        <f>ROUND(VLOOKUP($A215,'Contribution Allocation_Report'!$A$9:$D$310,4,FALSE)*$O$323,0)</f>
        <v>-22960</v>
      </c>
      <c r="Q215" s="246">
        <f>+K215+VLOOKUP(A215,'Change in Proportion Layers'!$A$8:$I$321,3,FALSE)+VLOOKUP(A215,'Change in Proportion Layers'!$A$8:$V$321,10,FALSE)+VLOOKUP(A215,'Change in Proportion Layers'!$A$8:$V$321,16,FALSE)+VLOOKUP(A215,'Change in Proportion Layers'!$A$8:$V$321,21,FALSE)</f>
        <v>-100211</v>
      </c>
      <c r="R215" s="246">
        <f>+L215+VLOOKUP(A215,'Change in Proportion Layers'!$A$8:$V$321,4,FALSE)+VLOOKUP(A215,'Change in Proportion Layers'!$A$8:$V$321,11,FALSE)+VLOOKUP(A215,'Change in Proportion Layers'!$A$8:$V$321,17,FALSE)+VLOOKUP(A215,'Change in Proportion Layers'!$A$8:$V$321,22,FALSE)</f>
        <v>-70286</v>
      </c>
      <c r="S215" s="246">
        <f>+M215+VLOOKUP(A215,'Change in Proportion Layers'!$A$8:$V$321,5,FALSE)+VLOOKUP(A215,'Change in Proportion Layers'!$A$8:$V$321,12,FALSE)+VLOOKUP(A215,'Change in Proportion Layers'!$A$8:$V$321,18,FALSE)</f>
        <v>-49503</v>
      </c>
      <c r="T215" s="246">
        <f>+N215+VLOOKUP(A215,'Change in Proportion Layers'!$A$8:$V$321,6,FALSE)+VLOOKUP(A215,'Change in Proportion Layers'!$A$8:$V$321,13,FALSE)</f>
        <v>-31537</v>
      </c>
      <c r="U215" s="246">
        <f>+O215+VLOOKUP(A215,'Change in Proportion Layers'!$A$8:$V$321,7,FALSE)</f>
        <v>-38992</v>
      </c>
      <c r="W215" s="246">
        <f>('OPEB Amounts_Report'!G215-'OPEB Amounts_Report'!M215)</f>
        <v>-290529</v>
      </c>
      <c r="X215" s="282">
        <f>SUM(Q215:U215)-('OPEB Amounts_Report'!G215-'OPEB Amounts_Report'!M215)</f>
        <v>0</v>
      </c>
    </row>
    <row r="216" spans="1:24" s="8" customFormat="1">
      <c r="A216" s="235">
        <v>28085</v>
      </c>
      <c r="B216" s="236" t="s">
        <v>204</v>
      </c>
      <c r="C216" s="245">
        <f t="shared" si="20"/>
        <v>-164185</v>
      </c>
      <c r="D216" s="245">
        <f t="shared" si="21"/>
        <v>-112603</v>
      </c>
      <c r="E216" s="245">
        <f t="shared" si="22"/>
        <v>-75645</v>
      </c>
      <c r="F216" s="245">
        <f t="shared" si="23"/>
        <v>-28263</v>
      </c>
      <c r="G216" s="245">
        <f t="shared" si="24"/>
        <v>-58959</v>
      </c>
      <c r="I216" s="51"/>
      <c r="K216" s="156">
        <f>ROUND(VLOOKUP($A216,'Contribution Allocation_Report'!$A$9:$D$310,4,FALSE)*$K$323,0)</f>
        <v>-145175</v>
      </c>
      <c r="L216" s="156">
        <f>ROUND(VLOOKUP($A216,'Contribution Allocation_Report'!$A$9:$D$310,4,FALSE)*$L$323,0)</f>
        <v>-91360</v>
      </c>
      <c r="M216" s="156">
        <f>ROUND(VLOOKUP($A216,'Contribution Allocation_Report'!$A$9:$D$310,4,FALSE)*$M$323,0)</f>
        <v>-51909</v>
      </c>
      <c r="N216" s="156">
        <f>ROUND(VLOOKUP($A216,'Contribution Allocation_Report'!$A$9:$D$310,4,FALSE)*$N$323,0)</f>
        <v>-10322</v>
      </c>
      <c r="O216" s="246">
        <f>ROUND(VLOOKUP($A216,'Contribution Allocation_Report'!$A$9:$D$310,4,FALSE)*$O$323,0)</f>
        <v>-42452</v>
      </c>
      <c r="Q216" s="246">
        <f>+K216+VLOOKUP(A216,'Change in Proportion Layers'!$A$8:$I$321,3,FALSE)+VLOOKUP(A216,'Change in Proportion Layers'!$A$8:$V$321,10,FALSE)+VLOOKUP(A216,'Change in Proportion Layers'!$A$8:$V$321,16,FALSE)+VLOOKUP(A216,'Change in Proportion Layers'!$A$8:$V$321,21,FALSE)</f>
        <v>-164185</v>
      </c>
      <c r="R216" s="246">
        <f>+L216+VLOOKUP(A216,'Change in Proportion Layers'!$A$8:$V$321,4,FALSE)+VLOOKUP(A216,'Change in Proportion Layers'!$A$8:$V$321,11,FALSE)+VLOOKUP(A216,'Change in Proportion Layers'!$A$8:$V$321,17,FALSE)+VLOOKUP(A216,'Change in Proportion Layers'!$A$8:$V$321,22,FALSE)</f>
        <v>-112603</v>
      </c>
      <c r="S216" s="246">
        <f>+M216+VLOOKUP(A216,'Change in Proportion Layers'!$A$8:$V$321,5,FALSE)+VLOOKUP(A216,'Change in Proportion Layers'!$A$8:$V$321,12,FALSE)+VLOOKUP(A216,'Change in Proportion Layers'!$A$8:$V$321,18,FALSE)</f>
        <v>-75645</v>
      </c>
      <c r="T216" s="246">
        <f>+N216+VLOOKUP(A216,'Change in Proportion Layers'!$A$8:$V$321,6,FALSE)+VLOOKUP(A216,'Change in Proportion Layers'!$A$8:$V$321,13,FALSE)</f>
        <v>-28263</v>
      </c>
      <c r="U216" s="246">
        <f>+O216+VLOOKUP(A216,'Change in Proportion Layers'!$A$8:$V$321,7,FALSE)+1</f>
        <v>-58959</v>
      </c>
      <c r="W216" s="246">
        <f>('OPEB Amounts_Report'!G216-'OPEB Amounts_Report'!M216)</f>
        <v>-439655</v>
      </c>
      <c r="X216" s="282">
        <f>SUM(Q216:U216)-('OPEB Amounts_Report'!G216-'OPEB Amounts_Report'!M216)</f>
        <v>0</v>
      </c>
    </row>
    <row r="217" spans="1:24" s="8" customFormat="1">
      <c r="A217" s="237">
        <v>3240</v>
      </c>
      <c r="B217" s="238" t="s">
        <v>205</v>
      </c>
      <c r="C217" s="48">
        <f t="shared" si="20"/>
        <v>-1190161</v>
      </c>
      <c r="D217" s="48">
        <f t="shared" si="21"/>
        <v>-799488</v>
      </c>
      <c r="E217" s="48">
        <f t="shared" si="22"/>
        <v>-406566</v>
      </c>
      <c r="F217" s="48">
        <f t="shared" si="23"/>
        <v>-54595</v>
      </c>
      <c r="G217" s="48">
        <f t="shared" si="24"/>
        <v>-225014</v>
      </c>
      <c r="I217" s="51"/>
      <c r="K217" s="156">
        <f>ROUND(VLOOKUP($A217,'Contribution Allocation_Report'!$A$9:$D$310,4,FALSE)*$K$323,0)</f>
        <v>-960303</v>
      </c>
      <c r="L217" s="156">
        <f>ROUND(VLOOKUP($A217,'Contribution Allocation_Report'!$A$9:$D$310,4,FALSE)*$L$323,0)</f>
        <v>-604325</v>
      </c>
      <c r="M217" s="156">
        <f>ROUND(VLOOKUP($A217,'Contribution Allocation_Report'!$A$9:$D$310,4,FALSE)*$M$323,0)</f>
        <v>-343366</v>
      </c>
      <c r="N217" s="156">
        <f>ROUND(VLOOKUP($A217,'Contribution Allocation_Report'!$A$9:$D$310,4,FALSE)*$N$323,0)</f>
        <v>-68278</v>
      </c>
      <c r="O217" s="246">
        <f>ROUND(VLOOKUP($A217,'Contribution Allocation_Report'!$A$9:$D$310,4,FALSE)*$O$323,0)</f>
        <v>-280810</v>
      </c>
      <c r="Q217" s="246">
        <f>+K217+VLOOKUP(A217,'Change in Proportion Layers'!$A$8:$I$321,3,FALSE)+VLOOKUP(A217,'Change in Proportion Layers'!$A$8:$V$321,10,FALSE)+VLOOKUP(A217,'Change in Proportion Layers'!$A$8:$V$321,16,FALSE)+VLOOKUP(A217,'Change in Proportion Layers'!$A$8:$V$321,21,FALSE)</f>
        <v>-1190161</v>
      </c>
      <c r="R217" s="246">
        <f>+L217+VLOOKUP(A217,'Change in Proportion Layers'!$A$8:$V$321,4,FALSE)+VLOOKUP(A217,'Change in Proportion Layers'!$A$8:$V$321,11,FALSE)+VLOOKUP(A217,'Change in Proportion Layers'!$A$8:$V$321,17,FALSE)+VLOOKUP(A217,'Change in Proportion Layers'!$A$8:$V$321,22,FALSE)</f>
        <v>-799488</v>
      </c>
      <c r="S217" s="246">
        <f>+M217+VLOOKUP(A217,'Change in Proportion Layers'!$A$8:$V$321,5,FALSE)+VLOOKUP(A217,'Change in Proportion Layers'!$A$8:$V$321,12,FALSE)+VLOOKUP(A217,'Change in Proportion Layers'!$A$8:$V$321,18,FALSE)</f>
        <v>-406566</v>
      </c>
      <c r="T217" s="246">
        <f>+N217+VLOOKUP(A217,'Change in Proportion Layers'!$A$8:$V$321,6,FALSE)+VLOOKUP(A217,'Change in Proportion Layers'!$A$8:$V$321,13,FALSE)</f>
        <v>-54595</v>
      </c>
      <c r="U217" s="246">
        <f>+O217+VLOOKUP(A217,'Change in Proportion Layers'!$A$8:$V$321,7,FALSE)+1</f>
        <v>-225014</v>
      </c>
      <c r="W217" s="246">
        <f>('OPEB Amounts_Report'!G217-'OPEB Amounts_Report'!M217)</f>
        <v>-2675824</v>
      </c>
      <c r="X217" s="282">
        <f>SUM(Q217:U217)-('OPEB Amounts_Report'!G217-'OPEB Amounts_Report'!M217)</f>
        <v>0</v>
      </c>
    </row>
    <row r="218" spans="1:24" s="8" customFormat="1">
      <c r="A218" s="235">
        <v>12326</v>
      </c>
      <c r="B218" s="236" t="s">
        <v>206</v>
      </c>
      <c r="C218" s="245">
        <f t="shared" si="20"/>
        <v>-46031</v>
      </c>
      <c r="D218" s="245">
        <f t="shared" si="21"/>
        <v>-26768</v>
      </c>
      <c r="E218" s="245">
        <f t="shared" si="22"/>
        <v>-10710</v>
      </c>
      <c r="F218" s="245">
        <f t="shared" si="23"/>
        <v>6189</v>
      </c>
      <c r="G218" s="245">
        <f t="shared" si="24"/>
        <v>-20936</v>
      </c>
      <c r="I218" s="51"/>
      <c r="K218" s="156">
        <f>ROUND(VLOOKUP($A218,'Contribution Allocation_Report'!$A$9:$D$310,4,FALSE)*$K$323,0)</f>
        <v>-51236</v>
      </c>
      <c r="L218" s="156">
        <f>ROUND(VLOOKUP($A218,'Contribution Allocation_Report'!$A$9:$D$310,4,FALSE)*$L$323,0)</f>
        <v>-32243</v>
      </c>
      <c r="M218" s="156">
        <f>ROUND(VLOOKUP($A218,'Contribution Allocation_Report'!$A$9:$D$310,4,FALSE)*$M$323,0)</f>
        <v>-18320</v>
      </c>
      <c r="N218" s="156">
        <f>ROUND(VLOOKUP($A218,'Contribution Allocation_Report'!$A$9:$D$310,4,FALSE)*$N$323,0)</f>
        <v>-3643</v>
      </c>
      <c r="O218" s="246">
        <f>ROUND(VLOOKUP($A218,'Contribution Allocation_Report'!$A$9:$D$310,4,FALSE)*$O$323,0)</f>
        <v>-14982</v>
      </c>
      <c r="Q218" s="246">
        <f>+K218+VLOOKUP(A218,'Change in Proportion Layers'!$A$8:$I$321,3,FALSE)+VLOOKUP(A218,'Change in Proportion Layers'!$A$8:$V$321,10,FALSE)+VLOOKUP(A218,'Change in Proportion Layers'!$A$8:$V$321,16,FALSE)+VLOOKUP(A218,'Change in Proportion Layers'!$A$8:$V$321,21,FALSE)</f>
        <v>-46031</v>
      </c>
      <c r="R218" s="246">
        <f>+L218+VLOOKUP(A218,'Change in Proportion Layers'!$A$8:$V$321,4,FALSE)+VLOOKUP(A218,'Change in Proportion Layers'!$A$8:$V$321,11,FALSE)+VLOOKUP(A218,'Change in Proportion Layers'!$A$8:$V$321,17,FALSE)+VLOOKUP(A218,'Change in Proportion Layers'!$A$8:$V$321,22,FALSE)</f>
        <v>-26768</v>
      </c>
      <c r="S218" s="246">
        <f>+M218+VLOOKUP(A218,'Change in Proportion Layers'!$A$8:$V$321,5,FALSE)+VLOOKUP(A218,'Change in Proportion Layers'!$A$8:$V$321,12,FALSE)+VLOOKUP(A218,'Change in Proportion Layers'!$A$8:$V$321,18,FALSE)</f>
        <v>-10710</v>
      </c>
      <c r="T218" s="246">
        <f>+N218+VLOOKUP(A218,'Change in Proportion Layers'!$A$8:$V$321,6,FALSE)+VLOOKUP(A218,'Change in Proportion Layers'!$A$8:$V$321,13,FALSE)</f>
        <v>6189</v>
      </c>
      <c r="U218" s="246">
        <f>+O218+VLOOKUP(A218,'Change in Proportion Layers'!$A$8:$V$321,7,FALSE)</f>
        <v>-20936</v>
      </c>
      <c r="W218" s="246">
        <f>('OPEB Amounts_Report'!G218-'OPEB Amounts_Report'!M218)</f>
        <v>-98256</v>
      </c>
      <c r="X218" s="282">
        <f>SUM(Q218:U218)-('OPEB Amounts_Report'!G218-'OPEB Amounts_Report'!M218)</f>
        <v>0</v>
      </c>
    </row>
    <row r="219" spans="1:24" s="8" customFormat="1">
      <c r="A219" s="237">
        <v>29123</v>
      </c>
      <c r="B219" s="238" t="s">
        <v>207</v>
      </c>
      <c r="C219" s="48">
        <f t="shared" si="20"/>
        <v>-8668403</v>
      </c>
      <c r="D219" s="48">
        <f t="shared" si="21"/>
        <v>-5104559</v>
      </c>
      <c r="E219" s="48">
        <f t="shared" si="22"/>
        <v>-2253003</v>
      </c>
      <c r="F219" s="48">
        <f t="shared" si="23"/>
        <v>2171161</v>
      </c>
      <c r="G219" s="48">
        <f t="shared" si="24"/>
        <v>-3510539</v>
      </c>
      <c r="I219" s="51"/>
      <c r="K219" s="156">
        <f>ROUND(VLOOKUP($A219,'Contribution Allocation_Report'!$A$9:$D$310,4,FALSE)*$K$323,0)</f>
        <v>-10491192</v>
      </c>
      <c r="L219" s="156">
        <f>ROUND(VLOOKUP($A219,'Contribution Allocation_Report'!$A$9:$D$310,4,FALSE)*$L$323,0)</f>
        <v>-6602171</v>
      </c>
      <c r="M219" s="156">
        <f>ROUND(VLOOKUP($A219,'Contribution Allocation_Report'!$A$9:$D$310,4,FALSE)*$M$323,0)</f>
        <v>-3751233</v>
      </c>
      <c r="N219" s="156">
        <f>ROUND(VLOOKUP($A219,'Contribution Allocation_Report'!$A$9:$D$310,4,FALSE)*$N$323,0)</f>
        <v>-745924</v>
      </c>
      <c r="O219" s="246">
        <f>ROUND(VLOOKUP($A219,'Contribution Allocation_Report'!$A$9:$D$310,4,FALSE)*$O$323,0)</f>
        <v>-3067815</v>
      </c>
      <c r="Q219" s="246">
        <f>+K219+VLOOKUP(A219,'Change in Proportion Layers'!$A$8:$I$321,3,FALSE)+VLOOKUP(A219,'Change in Proportion Layers'!$A$8:$V$321,10,FALSE)+VLOOKUP(A219,'Change in Proportion Layers'!$A$8:$V$321,16,FALSE)+VLOOKUP(A219,'Change in Proportion Layers'!$A$8:$V$321,21,FALSE)</f>
        <v>-8668403</v>
      </c>
      <c r="R219" s="246">
        <f>+L219+VLOOKUP(A219,'Change in Proportion Layers'!$A$8:$V$321,4,FALSE)+VLOOKUP(A219,'Change in Proportion Layers'!$A$8:$V$321,11,FALSE)+VLOOKUP(A219,'Change in Proportion Layers'!$A$8:$V$321,17,FALSE)+VLOOKUP(A219,'Change in Proportion Layers'!$A$8:$V$321,22,FALSE)</f>
        <v>-5104559</v>
      </c>
      <c r="S219" s="246">
        <f>+M219+VLOOKUP(A219,'Change in Proportion Layers'!$A$8:$V$321,5,FALSE)+VLOOKUP(A219,'Change in Proportion Layers'!$A$8:$V$321,12,FALSE)+VLOOKUP(A219,'Change in Proportion Layers'!$A$8:$V$321,18,FALSE)</f>
        <v>-2253003</v>
      </c>
      <c r="T219" s="246">
        <f>+N219+VLOOKUP(A219,'Change in Proportion Layers'!$A$8:$V$321,6,FALSE)+VLOOKUP(A219,'Change in Proportion Layers'!$A$8:$V$321,13,FALSE)</f>
        <v>2171161</v>
      </c>
      <c r="U219" s="246">
        <f>+O219+VLOOKUP(A219,'Change in Proportion Layers'!$A$8:$V$321,7,FALSE)+1</f>
        <v>-3510539</v>
      </c>
      <c r="W219" s="246">
        <f>('OPEB Amounts_Report'!G219-'OPEB Amounts_Report'!M219)</f>
        <v>-17365343</v>
      </c>
      <c r="X219" s="282">
        <f>SUM(Q219:U219)-('OPEB Amounts_Report'!G219-'OPEB Amounts_Report'!M219)</f>
        <v>0</v>
      </c>
    </row>
    <row r="220" spans="1:24" s="8" customFormat="1">
      <c r="A220" s="235">
        <v>2318</v>
      </c>
      <c r="B220" s="236" t="s">
        <v>208</v>
      </c>
      <c r="C220" s="49">
        <f t="shared" si="20"/>
        <v>-201679</v>
      </c>
      <c r="D220" s="49">
        <f t="shared" si="21"/>
        <v>-117031</v>
      </c>
      <c r="E220" s="49">
        <f t="shared" si="22"/>
        <v>-59327</v>
      </c>
      <c r="F220" s="49">
        <f t="shared" si="23"/>
        <v>13576</v>
      </c>
      <c r="G220" s="49">
        <f t="shared" si="24"/>
        <v>-59428</v>
      </c>
      <c r="I220" s="51"/>
      <c r="K220" s="156">
        <f>ROUND(VLOOKUP($A220,'Contribution Allocation_Report'!$A$9:$D$310,4,FALSE)*$K$323,0)</f>
        <v>-238787</v>
      </c>
      <c r="L220" s="156">
        <f>ROUND(VLOOKUP($A220,'Contribution Allocation_Report'!$A$9:$D$310,4,FALSE)*$L$323,0)</f>
        <v>-150270</v>
      </c>
      <c r="M220" s="156">
        <f>ROUND(VLOOKUP($A220,'Contribution Allocation_Report'!$A$9:$D$310,4,FALSE)*$M$323,0)</f>
        <v>-85381</v>
      </c>
      <c r="N220" s="156">
        <f>ROUND(VLOOKUP($A220,'Contribution Allocation_Report'!$A$9:$D$310,4,FALSE)*$N$323,0)</f>
        <v>-16978</v>
      </c>
      <c r="O220" s="246">
        <f>ROUND(VLOOKUP($A220,'Contribution Allocation_Report'!$A$9:$D$310,4,FALSE)*$O$323,0)</f>
        <v>-69826</v>
      </c>
      <c r="Q220" s="246">
        <f>+K220+VLOOKUP(A220,'Change in Proportion Layers'!$A$8:$I$321,3,FALSE)+VLOOKUP(A220,'Change in Proportion Layers'!$A$8:$V$321,10,FALSE)+VLOOKUP(A220,'Change in Proportion Layers'!$A$8:$V$321,16,FALSE)+VLOOKUP(A220,'Change in Proportion Layers'!$A$8:$V$321,21,FALSE)</f>
        <v>-201679</v>
      </c>
      <c r="R220" s="246">
        <f>+L220+VLOOKUP(A220,'Change in Proportion Layers'!$A$8:$V$321,4,FALSE)+VLOOKUP(A220,'Change in Proportion Layers'!$A$8:$V$321,11,FALSE)+VLOOKUP(A220,'Change in Proportion Layers'!$A$8:$V$321,17,FALSE)+VLOOKUP(A220,'Change in Proportion Layers'!$A$8:$V$321,22,FALSE)</f>
        <v>-117031</v>
      </c>
      <c r="S220" s="246">
        <f>+M220+VLOOKUP(A220,'Change in Proportion Layers'!$A$8:$V$321,5,FALSE)+VLOOKUP(A220,'Change in Proportion Layers'!$A$8:$V$321,12,FALSE)+VLOOKUP(A220,'Change in Proportion Layers'!$A$8:$V$321,18,FALSE)</f>
        <v>-59327</v>
      </c>
      <c r="T220" s="246">
        <f>+N220+VLOOKUP(A220,'Change in Proportion Layers'!$A$8:$V$321,6,FALSE)+VLOOKUP(A220,'Change in Proportion Layers'!$A$8:$V$321,13,FALSE)</f>
        <v>13576</v>
      </c>
      <c r="U220" s="246">
        <f>+O220+VLOOKUP(A220,'Change in Proportion Layers'!$A$8:$V$321,7,FALSE)+2</f>
        <v>-59428</v>
      </c>
      <c r="W220" s="246">
        <f>('OPEB Amounts_Report'!G220-'OPEB Amounts_Report'!M220)</f>
        <v>-423889</v>
      </c>
      <c r="X220" s="282">
        <f>SUM(Q220:U220)-('OPEB Amounts_Report'!G220-'OPEB Amounts_Report'!M220)</f>
        <v>0</v>
      </c>
    </row>
    <row r="221" spans="1:24" s="8" customFormat="1">
      <c r="A221" s="237">
        <v>3250</v>
      </c>
      <c r="B221" s="238" t="s">
        <v>209</v>
      </c>
      <c r="C221" s="48">
        <f t="shared" si="20"/>
        <v>-335969</v>
      </c>
      <c r="D221" s="48">
        <f t="shared" si="21"/>
        <v>-233736</v>
      </c>
      <c r="E221" s="48">
        <f t="shared" si="22"/>
        <v>-179732</v>
      </c>
      <c r="F221" s="48">
        <f t="shared" si="23"/>
        <v>-68939</v>
      </c>
      <c r="G221" s="48">
        <f t="shared" si="24"/>
        <v>-111703</v>
      </c>
      <c r="I221" s="51"/>
      <c r="K221" s="156">
        <f>ROUND(VLOOKUP($A221,'Contribution Allocation_Report'!$A$9:$D$310,4,FALSE)*$K$323,0)</f>
        <v>-321476</v>
      </c>
      <c r="L221" s="156">
        <f>ROUND(VLOOKUP($A221,'Contribution Allocation_Report'!$A$9:$D$310,4,FALSE)*$L$323,0)</f>
        <v>-202307</v>
      </c>
      <c r="M221" s="156">
        <f>ROUND(VLOOKUP($A221,'Contribution Allocation_Report'!$A$9:$D$310,4,FALSE)*$M$323,0)</f>
        <v>-114947</v>
      </c>
      <c r="N221" s="156">
        <f>ROUND(VLOOKUP($A221,'Contribution Allocation_Report'!$A$9:$D$310,4,FALSE)*$N$323,0)</f>
        <v>-22857</v>
      </c>
      <c r="O221" s="246">
        <f>ROUND(VLOOKUP($A221,'Contribution Allocation_Report'!$A$9:$D$310,4,FALSE)*$O$323,0)</f>
        <v>-94005</v>
      </c>
      <c r="Q221" s="246">
        <f>+K221+VLOOKUP(A221,'Change in Proportion Layers'!$A$8:$I$321,3,FALSE)+VLOOKUP(A221,'Change in Proportion Layers'!$A$8:$V$321,10,FALSE)+VLOOKUP(A221,'Change in Proportion Layers'!$A$8:$V$321,16,FALSE)+VLOOKUP(A221,'Change in Proportion Layers'!$A$8:$V$321,21,FALSE)</f>
        <v>-335969</v>
      </c>
      <c r="R221" s="246">
        <f>+L221+VLOOKUP(A221,'Change in Proportion Layers'!$A$8:$V$321,4,FALSE)+VLOOKUP(A221,'Change in Proportion Layers'!$A$8:$V$321,11,FALSE)+VLOOKUP(A221,'Change in Proportion Layers'!$A$8:$V$321,17,FALSE)+VLOOKUP(A221,'Change in Proportion Layers'!$A$8:$V$321,22,FALSE)</f>
        <v>-233736</v>
      </c>
      <c r="S221" s="246">
        <f>+M221+VLOOKUP(A221,'Change in Proportion Layers'!$A$8:$V$321,5,FALSE)+VLOOKUP(A221,'Change in Proportion Layers'!$A$8:$V$321,12,FALSE)+VLOOKUP(A221,'Change in Proportion Layers'!$A$8:$V$321,18,FALSE)</f>
        <v>-179732</v>
      </c>
      <c r="T221" s="246">
        <f>+N221+VLOOKUP(A221,'Change in Proportion Layers'!$A$8:$V$321,6,FALSE)+VLOOKUP(A221,'Change in Proportion Layers'!$A$8:$V$321,13,FALSE)</f>
        <v>-68939</v>
      </c>
      <c r="U221" s="246">
        <f>+O221+VLOOKUP(A221,'Change in Proportion Layers'!$A$8:$V$321,7,FALSE)</f>
        <v>-111703</v>
      </c>
      <c r="W221" s="246">
        <f>('OPEB Amounts_Report'!G221-'OPEB Amounts_Report'!M221)</f>
        <v>-930079</v>
      </c>
      <c r="X221" s="282">
        <f>SUM(Q221:U221)-('OPEB Amounts_Report'!G221-'OPEB Amounts_Report'!M221)</f>
        <v>0</v>
      </c>
    </row>
    <row r="222" spans="1:24" s="8" customFormat="1">
      <c r="A222" s="235">
        <v>2313</v>
      </c>
      <c r="B222" s="236" t="s">
        <v>210</v>
      </c>
      <c r="C222" s="245">
        <f t="shared" si="20"/>
        <v>-41937</v>
      </c>
      <c r="D222" s="245">
        <f t="shared" si="21"/>
        <v>-27741</v>
      </c>
      <c r="E222" s="245">
        <f t="shared" si="22"/>
        <v>-11952</v>
      </c>
      <c r="F222" s="245">
        <f t="shared" si="23"/>
        <v>690</v>
      </c>
      <c r="G222" s="245">
        <f t="shared" si="24"/>
        <v>-5603</v>
      </c>
      <c r="I222" s="51"/>
      <c r="K222" s="156">
        <f>ROUND(VLOOKUP($A222,'Contribution Allocation_Report'!$A$9:$D$310,4,FALSE)*$K$323,0)</f>
        <v>-33001</v>
      </c>
      <c r="L222" s="156">
        <f>ROUND(VLOOKUP($A222,'Contribution Allocation_Report'!$A$9:$D$310,4,FALSE)*$L$323,0)</f>
        <v>-20768</v>
      </c>
      <c r="M222" s="156">
        <f>ROUND(VLOOKUP($A222,'Contribution Allocation_Report'!$A$9:$D$310,4,FALSE)*$M$323,0)</f>
        <v>-11800</v>
      </c>
      <c r="N222" s="156">
        <f>ROUND(VLOOKUP($A222,'Contribution Allocation_Report'!$A$9:$D$310,4,FALSE)*$N$323,0)</f>
        <v>-2346</v>
      </c>
      <c r="O222" s="246">
        <f>ROUND(VLOOKUP($A222,'Contribution Allocation_Report'!$A$9:$D$310,4,FALSE)*$O$323,0)</f>
        <v>-9650</v>
      </c>
      <c r="Q222" s="246">
        <f>+K222+VLOOKUP(A222,'Change in Proportion Layers'!$A$8:$I$321,3,FALSE)+VLOOKUP(A222,'Change in Proportion Layers'!$A$8:$V$321,10,FALSE)+VLOOKUP(A222,'Change in Proportion Layers'!$A$8:$V$321,16,FALSE)+VLOOKUP(A222,'Change in Proportion Layers'!$A$8:$V$321,21,FALSE)</f>
        <v>-41937</v>
      </c>
      <c r="R222" s="246">
        <f>+L222+VLOOKUP(A222,'Change in Proportion Layers'!$A$8:$V$321,4,FALSE)+VLOOKUP(A222,'Change in Proportion Layers'!$A$8:$V$321,11,FALSE)+VLOOKUP(A222,'Change in Proportion Layers'!$A$8:$V$321,17,FALSE)+VLOOKUP(A222,'Change in Proportion Layers'!$A$8:$V$321,22,FALSE)</f>
        <v>-27741</v>
      </c>
      <c r="S222" s="246">
        <f>+M222+VLOOKUP(A222,'Change in Proportion Layers'!$A$8:$V$321,5,FALSE)+VLOOKUP(A222,'Change in Proportion Layers'!$A$8:$V$321,12,FALSE)+VLOOKUP(A222,'Change in Proportion Layers'!$A$8:$V$321,18,FALSE)</f>
        <v>-11952</v>
      </c>
      <c r="T222" s="246">
        <f>+N222+VLOOKUP(A222,'Change in Proportion Layers'!$A$8:$V$321,6,FALSE)+VLOOKUP(A222,'Change in Proportion Layers'!$A$8:$V$321,13,FALSE)</f>
        <v>690</v>
      </c>
      <c r="U222" s="246">
        <f>+O222+VLOOKUP(A222,'Change in Proportion Layers'!$A$8:$V$321,7,FALSE)+1</f>
        <v>-5603</v>
      </c>
      <c r="W222" s="246">
        <f>('OPEB Amounts_Report'!G222-'OPEB Amounts_Report'!M222)</f>
        <v>-86543</v>
      </c>
      <c r="X222" s="282">
        <f>SUM(Q222:U222)-('OPEB Amounts_Report'!G222-'OPEB Amounts_Report'!M222)</f>
        <v>0</v>
      </c>
    </row>
    <row r="223" spans="1:24" s="8" customFormat="1">
      <c r="A223" s="237">
        <v>4011</v>
      </c>
      <c r="B223" s="238" t="s">
        <v>211</v>
      </c>
      <c r="C223" s="48">
        <f t="shared" si="20"/>
        <v>-4962118</v>
      </c>
      <c r="D223" s="48">
        <f t="shared" si="21"/>
        <v>-2674791</v>
      </c>
      <c r="E223" s="48">
        <f t="shared" si="22"/>
        <v>-1142178</v>
      </c>
      <c r="F223" s="48">
        <f t="shared" si="23"/>
        <v>27162</v>
      </c>
      <c r="G223" s="48">
        <f t="shared" si="24"/>
        <v>-1505557</v>
      </c>
      <c r="I223" s="51"/>
      <c r="K223" s="156">
        <f>ROUND(VLOOKUP($A223,'Contribution Allocation_Report'!$A$9:$D$310,4,FALSE)*$K$323,0)</f>
        <v>-5945010</v>
      </c>
      <c r="L223" s="156">
        <f>ROUND(VLOOKUP($A223,'Contribution Allocation_Report'!$A$9:$D$310,4,FALSE)*$L$323,0)</f>
        <v>-3741231</v>
      </c>
      <c r="M223" s="156">
        <f>ROUND(VLOOKUP($A223,'Contribution Allocation_Report'!$A$9:$D$310,4,FALSE)*$M$323,0)</f>
        <v>-2125699</v>
      </c>
      <c r="N223" s="156">
        <f>ROUND(VLOOKUP($A223,'Contribution Allocation_Report'!$A$9:$D$310,4,FALSE)*$N$323,0)</f>
        <v>-422691</v>
      </c>
      <c r="O223" s="246">
        <f>ROUND(VLOOKUP($A223,'Contribution Allocation_Report'!$A$9:$D$310,4,FALSE)*$O$323,0)</f>
        <v>-1738429</v>
      </c>
      <c r="Q223" s="246">
        <f>+K223+VLOOKUP(A223,'Change in Proportion Layers'!$A$8:$I$321,3,FALSE)+VLOOKUP(A223,'Change in Proportion Layers'!$A$8:$V$321,10,FALSE)+VLOOKUP(A223,'Change in Proportion Layers'!$A$8:$V$321,16,FALSE)+VLOOKUP(A223,'Change in Proportion Layers'!$A$8:$V$321,21,FALSE)</f>
        <v>-4962118</v>
      </c>
      <c r="R223" s="246">
        <f>+L223+VLOOKUP(A223,'Change in Proportion Layers'!$A$8:$V$321,4,FALSE)+VLOOKUP(A223,'Change in Proportion Layers'!$A$8:$V$321,11,FALSE)+VLOOKUP(A223,'Change in Proportion Layers'!$A$8:$V$321,17,FALSE)+VLOOKUP(A223,'Change in Proportion Layers'!$A$8:$V$321,22,FALSE)</f>
        <v>-2674791</v>
      </c>
      <c r="S223" s="246">
        <f>+M223+VLOOKUP(A223,'Change in Proportion Layers'!$A$8:$V$321,5,FALSE)+VLOOKUP(A223,'Change in Proportion Layers'!$A$8:$V$321,12,FALSE)+VLOOKUP(A223,'Change in Proportion Layers'!$A$8:$V$321,18,FALSE)</f>
        <v>-1142178</v>
      </c>
      <c r="T223" s="246">
        <f>+N223+VLOOKUP(A223,'Change in Proportion Layers'!$A$8:$V$321,6,FALSE)+VLOOKUP(A223,'Change in Proportion Layers'!$A$8:$V$321,13,FALSE)</f>
        <v>27162</v>
      </c>
      <c r="U223" s="246">
        <f>+O223+VLOOKUP(A223,'Change in Proportion Layers'!$A$8:$V$321,7,FALSE)+1</f>
        <v>-1505557</v>
      </c>
      <c r="W223" s="246">
        <f>('OPEB Amounts_Report'!G223-'OPEB Amounts_Report'!M223)</f>
        <v>-10257482</v>
      </c>
      <c r="X223" s="282">
        <f>SUM(Q223:U223)-('OPEB Amounts_Report'!G223-'OPEB Amounts_Report'!M223)</f>
        <v>0</v>
      </c>
    </row>
    <row r="224" spans="1:24" s="8" customFormat="1">
      <c r="A224" s="235">
        <v>31092</v>
      </c>
      <c r="B224" s="236" t="s">
        <v>212</v>
      </c>
      <c r="C224" s="245">
        <f t="shared" si="20"/>
        <v>-84270</v>
      </c>
      <c r="D224" s="245">
        <f t="shared" si="21"/>
        <v>-50419</v>
      </c>
      <c r="E224" s="245">
        <f t="shared" si="22"/>
        <v>-26550</v>
      </c>
      <c r="F224" s="245">
        <f t="shared" si="23"/>
        <v>4446</v>
      </c>
      <c r="G224" s="245">
        <f t="shared" si="24"/>
        <v>-21084</v>
      </c>
      <c r="I224" s="51"/>
      <c r="K224" s="156">
        <f>ROUND(VLOOKUP($A224,'Contribution Allocation_Report'!$A$9:$D$310,4,FALSE)*$K$323,0)</f>
        <v>-95721</v>
      </c>
      <c r="L224" s="156">
        <f>ROUND(VLOOKUP($A224,'Contribution Allocation_Report'!$A$9:$D$310,4,FALSE)*$L$323,0)</f>
        <v>-60238</v>
      </c>
      <c r="M224" s="156">
        <f>ROUND(VLOOKUP($A224,'Contribution Allocation_Report'!$A$9:$D$310,4,FALSE)*$M$323,0)</f>
        <v>-34226</v>
      </c>
      <c r="N224" s="156">
        <f>ROUND(VLOOKUP($A224,'Contribution Allocation_Report'!$A$9:$D$310,4,FALSE)*$N$323,0)</f>
        <v>-6806</v>
      </c>
      <c r="O224" s="246">
        <f>ROUND(VLOOKUP($A224,'Contribution Allocation_Report'!$A$9:$D$310,4,FALSE)*$O$323,0)</f>
        <v>-27991</v>
      </c>
      <c r="Q224" s="246">
        <f>+K224+VLOOKUP(A224,'Change in Proportion Layers'!$A$8:$I$321,3,FALSE)+VLOOKUP(A224,'Change in Proportion Layers'!$A$8:$V$321,10,FALSE)+VLOOKUP(A224,'Change in Proportion Layers'!$A$8:$V$321,16,FALSE)+VLOOKUP(A224,'Change in Proportion Layers'!$A$8:$V$321,21,FALSE)</f>
        <v>-84270</v>
      </c>
      <c r="R224" s="246">
        <f>+L224+VLOOKUP(A224,'Change in Proportion Layers'!$A$8:$V$321,4,FALSE)+VLOOKUP(A224,'Change in Proportion Layers'!$A$8:$V$321,11,FALSE)+VLOOKUP(A224,'Change in Proportion Layers'!$A$8:$V$321,17,FALSE)+VLOOKUP(A224,'Change in Proportion Layers'!$A$8:$V$321,22,FALSE)</f>
        <v>-50419</v>
      </c>
      <c r="S224" s="246">
        <f>+M224+VLOOKUP(A224,'Change in Proportion Layers'!$A$8:$V$321,5,FALSE)+VLOOKUP(A224,'Change in Proportion Layers'!$A$8:$V$321,12,FALSE)+VLOOKUP(A224,'Change in Proportion Layers'!$A$8:$V$321,18,FALSE)</f>
        <v>-26550</v>
      </c>
      <c r="T224" s="246">
        <f>+N224+VLOOKUP(A224,'Change in Proportion Layers'!$A$8:$V$321,6,FALSE)+VLOOKUP(A224,'Change in Proportion Layers'!$A$8:$V$321,13,FALSE)</f>
        <v>4446</v>
      </c>
      <c r="U224" s="246">
        <f>+O224+VLOOKUP(A224,'Change in Proportion Layers'!$A$8:$V$321,7,FALSE)+1</f>
        <v>-21084</v>
      </c>
      <c r="W224" s="246">
        <f>('OPEB Amounts_Report'!G224-'OPEB Amounts_Report'!M224)</f>
        <v>-177877</v>
      </c>
      <c r="X224" s="282">
        <f>SUM(Q224:U224)-('OPEB Amounts_Report'!G224-'OPEB Amounts_Report'!M224)</f>
        <v>0</v>
      </c>
    </row>
    <row r="225" spans="1:24" s="8" customFormat="1">
      <c r="A225" s="237">
        <v>26081</v>
      </c>
      <c r="B225" s="238" t="s">
        <v>213</v>
      </c>
      <c r="C225" s="48">
        <f t="shared" si="20"/>
        <v>-951396</v>
      </c>
      <c r="D225" s="48">
        <f t="shared" si="21"/>
        <v>-601211</v>
      </c>
      <c r="E225" s="48">
        <f t="shared" si="22"/>
        <v>-407622</v>
      </c>
      <c r="F225" s="48">
        <f t="shared" si="23"/>
        <v>-99730</v>
      </c>
      <c r="G225" s="48">
        <f t="shared" si="24"/>
        <v>-375053</v>
      </c>
      <c r="I225" s="51"/>
      <c r="K225" s="156">
        <f>ROUND(VLOOKUP($A225,'Contribution Allocation_Report'!$A$9:$D$310,4,FALSE)*$K$323,0)</f>
        <v>-1045102</v>
      </c>
      <c r="L225" s="156">
        <f>ROUND(VLOOKUP($A225,'Contribution Allocation_Report'!$A$9:$D$310,4,FALSE)*$L$323,0)</f>
        <v>-657689</v>
      </c>
      <c r="M225" s="156">
        <f>ROUND(VLOOKUP($A225,'Contribution Allocation_Report'!$A$9:$D$310,4,FALSE)*$M$323,0)</f>
        <v>-373687</v>
      </c>
      <c r="N225" s="156">
        <f>ROUND(VLOOKUP($A225,'Contribution Allocation_Report'!$A$9:$D$310,4,FALSE)*$N$323,0)</f>
        <v>-74307</v>
      </c>
      <c r="O225" s="246">
        <f>ROUND(VLOOKUP($A225,'Contribution Allocation_Report'!$A$9:$D$310,4,FALSE)*$O$323,0)</f>
        <v>-305607</v>
      </c>
      <c r="Q225" s="246">
        <f>+K225+VLOOKUP(A225,'Change in Proportion Layers'!$A$8:$I$321,3,FALSE)+VLOOKUP(A225,'Change in Proportion Layers'!$A$8:$V$321,10,FALSE)+VLOOKUP(A225,'Change in Proportion Layers'!$A$8:$V$321,16,FALSE)+VLOOKUP(A225,'Change in Proportion Layers'!$A$8:$V$321,21,FALSE)</f>
        <v>-951396</v>
      </c>
      <c r="R225" s="246">
        <f>+L225+VLOOKUP(A225,'Change in Proportion Layers'!$A$8:$V$321,4,FALSE)+VLOOKUP(A225,'Change in Proportion Layers'!$A$8:$V$321,11,FALSE)+VLOOKUP(A225,'Change in Proportion Layers'!$A$8:$V$321,17,FALSE)+VLOOKUP(A225,'Change in Proportion Layers'!$A$8:$V$321,22,FALSE)</f>
        <v>-601211</v>
      </c>
      <c r="S225" s="246">
        <f>+M225+VLOOKUP(A225,'Change in Proportion Layers'!$A$8:$V$321,5,FALSE)+VLOOKUP(A225,'Change in Proportion Layers'!$A$8:$V$321,12,FALSE)+VLOOKUP(A225,'Change in Proportion Layers'!$A$8:$V$321,18,FALSE)</f>
        <v>-407622</v>
      </c>
      <c r="T225" s="246">
        <f>+N225+VLOOKUP(A225,'Change in Proportion Layers'!$A$8:$V$321,6,FALSE)+VLOOKUP(A225,'Change in Proportion Layers'!$A$8:$V$321,13,FALSE)</f>
        <v>-99730</v>
      </c>
      <c r="U225" s="246">
        <f>+O225+VLOOKUP(A225,'Change in Proportion Layers'!$A$8:$V$321,7,FALSE)+1</f>
        <v>-375053</v>
      </c>
      <c r="W225" s="246">
        <f>('OPEB Amounts_Report'!G225-'OPEB Amounts_Report'!M225)</f>
        <v>-2435012</v>
      </c>
      <c r="X225" s="282">
        <f>SUM(Q225:U225)-('OPEB Amounts_Report'!G225-'OPEB Amounts_Report'!M225)</f>
        <v>0</v>
      </c>
    </row>
    <row r="226" spans="1:24" s="8" customFormat="1">
      <c r="A226" s="235">
        <v>29305</v>
      </c>
      <c r="B226" s="236" t="s">
        <v>214</v>
      </c>
      <c r="C226" s="245">
        <f t="shared" si="20"/>
        <v>-48540</v>
      </c>
      <c r="D226" s="245">
        <f t="shared" si="21"/>
        <v>-24336</v>
      </c>
      <c r="E226" s="245">
        <f t="shared" si="22"/>
        <v>-26331</v>
      </c>
      <c r="F226" s="245">
        <f t="shared" si="23"/>
        <v>-13291</v>
      </c>
      <c r="G226" s="245">
        <f t="shared" si="24"/>
        <v>-35168</v>
      </c>
      <c r="I226" s="51"/>
      <c r="K226" s="156">
        <f>ROUND(VLOOKUP($A226,'Contribution Allocation_Report'!$A$9:$D$310,4,FALSE)*$K$323,0)</f>
        <v>-84986</v>
      </c>
      <c r="L226" s="156">
        <f>ROUND(VLOOKUP($A226,'Contribution Allocation_Report'!$A$9:$D$310,4,FALSE)*$L$323,0)</f>
        <v>-53482</v>
      </c>
      <c r="M226" s="156">
        <f>ROUND(VLOOKUP($A226,'Contribution Allocation_Report'!$A$9:$D$310,4,FALSE)*$M$323,0)</f>
        <v>-30388</v>
      </c>
      <c r="N226" s="156">
        <f>ROUND(VLOOKUP($A226,'Contribution Allocation_Report'!$A$9:$D$310,4,FALSE)*$N$323,0)</f>
        <v>-6043</v>
      </c>
      <c r="O226" s="246">
        <f>ROUND(VLOOKUP($A226,'Contribution Allocation_Report'!$A$9:$D$310,4,FALSE)*$O$323,0)</f>
        <v>-24852</v>
      </c>
      <c r="Q226" s="246">
        <f>+K226+VLOOKUP(A226,'Change in Proportion Layers'!$A$8:$I$321,3,FALSE)+VLOOKUP(A226,'Change in Proportion Layers'!$A$8:$V$321,10,FALSE)+VLOOKUP(A226,'Change in Proportion Layers'!$A$8:$V$321,16,FALSE)+VLOOKUP(A226,'Change in Proportion Layers'!$A$8:$V$321,21,FALSE)</f>
        <v>-48540</v>
      </c>
      <c r="R226" s="246">
        <f>+L226+VLOOKUP(A226,'Change in Proportion Layers'!$A$8:$V$321,4,FALSE)+VLOOKUP(A226,'Change in Proportion Layers'!$A$8:$V$321,11,FALSE)+VLOOKUP(A226,'Change in Proportion Layers'!$A$8:$V$321,17,FALSE)+VLOOKUP(A226,'Change in Proportion Layers'!$A$8:$V$321,22,FALSE)</f>
        <v>-24336</v>
      </c>
      <c r="S226" s="246">
        <f>+M226+VLOOKUP(A226,'Change in Proportion Layers'!$A$8:$V$321,5,FALSE)+VLOOKUP(A226,'Change in Proportion Layers'!$A$8:$V$321,12,FALSE)+VLOOKUP(A226,'Change in Proportion Layers'!$A$8:$V$321,18,FALSE)</f>
        <v>-26331</v>
      </c>
      <c r="T226" s="246">
        <f>+N226+VLOOKUP(A226,'Change in Proportion Layers'!$A$8:$V$321,6,FALSE)+VLOOKUP(A226,'Change in Proportion Layers'!$A$8:$V$321,13,FALSE)</f>
        <v>-13291</v>
      </c>
      <c r="U226" s="246">
        <f>+O226+VLOOKUP(A226,'Change in Proportion Layers'!$A$8:$V$321,7,FALSE)</f>
        <v>-35168</v>
      </c>
      <c r="W226" s="246">
        <f>('OPEB Amounts_Report'!G226-'OPEB Amounts_Report'!M226)</f>
        <v>-147666</v>
      </c>
      <c r="X226" s="282">
        <f>SUM(Q226:U226)-('OPEB Amounts_Report'!G226-'OPEB Amounts_Report'!M226)</f>
        <v>0</v>
      </c>
    </row>
    <row r="227" spans="1:24" s="8" customFormat="1">
      <c r="A227" s="237">
        <v>10032</v>
      </c>
      <c r="B227" s="238" t="s">
        <v>215</v>
      </c>
      <c r="C227" s="48">
        <f t="shared" si="20"/>
        <v>-132930</v>
      </c>
      <c r="D227" s="48">
        <f t="shared" si="21"/>
        <v>-94539</v>
      </c>
      <c r="E227" s="48">
        <f t="shared" si="22"/>
        <v>-72383</v>
      </c>
      <c r="F227" s="48">
        <f t="shared" si="23"/>
        <v>-28071</v>
      </c>
      <c r="G227" s="48">
        <f t="shared" si="24"/>
        <v>-39447</v>
      </c>
      <c r="I227" s="51"/>
      <c r="K227" s="156">
        <f>ROUND(VLOOKUP($A227,'Contribution Allocation_Report'!$A$9:$D$310,4,FALSE)*$K$323,0)</f>
        <v>-120237</v>
      </c>
      <c r="L227" s="156">
        <f>ROUND(VLOOKUP($A227,'Contribution Allocation_Report'!$A$9:$D$310,4,FALSE)*$L$323,0)</f>
        <v>-75666</v>
      </c>
      <c r="M227" s="156">
        <f>ROUND(VLOOKUP($A227,'Contribution Allocation_Report'!$A$9:$D$310,4,FALSE)*$M$323,0)</f>
        <v>-42992</v>
      </c>
      <c r="N227" s="156">
        <f>ROUND(VLOOKUP($A227,'Contribution Allocation_Report'!$A$9:$D$310,4,FALSE)*$N$323,0)</f>
        <v>-8549</v>
      </c>
      <c r="O227" s="246">
        <f>ROUND(VLOOKUP($A227,'Contribution Allocation_Report'!$A$9:$D$310,4,FALSE)*$O$323,0)</f>
        <v>-35160</v>
      </c>
      <c r="Q227" s="246">
        <f>+K227+VLOOKUP(A227,'Change in Proportion Layers'!$A$8:$I$321,3,FALSE)+VLOOKUP(A227,'Change in Proportion Layers'!$A$8:$V$321,10,FALSE)+VLOOKUP(A227,'Change in Proportion Layers'!$A$8:$V$321,16,FALSE)+VLOOKUP(A227,'Change in Proportion Layers'!$A$8:$V$321,21,FALSE)</f>
        <v>-132930</v>
      </c>
      <c r="R227" s="246">
        <f>+L227+VLOOKUP(A227,'Change in Proportion Layers'!$A$8:$V$321,4,FALSE)+VLOOKUP(A227,'Change in Proportion Layers'!$A$8:$V$321,11,FALSE)+VLOOKUP(A227,'Change in Proportion Layers'!$A$8:$V$321,17,FALSE)+VLOOKUP(A227,'Change in Proportion Layers'!$A$8:$V$321,22,FALSE)</f>
        <v>-94539</v>
      </c>
      <c r="S227" s="246">
        <f>+M227+VLOOKUP(A227,'Change in Proportion Layers'!$A$8:$V$321,5,FALSE)+VLOOKUP(A227,'Change in Proportion Layers'!$A$8:$V$321,12,FALSE)+VLOOKUP(A227,'Change in Proportion Layers'!$A$8:$V$321,18,FALSE)</f>
        <v>-72383</v>
      </c>
      <c r="T227" s="246">
        <f>+N227+VLOOKUP(A227,'Change in Proportion Layers'!$A$8:$V$321,6,FALSE)+VLOOKUP(A227,'Change in Proportion Layers'!$A$8:$V$321,13,FALSE)</f>
        <v>-28071</v>
      </c>
      <c r="U227" s="246">
        <f>+O227+VLOOKUP(A227,'Change in Proportion Layers'!$A$8:$V$321,7,FALSE)+1</f>
        <v>-39447</v>
      </c>
      <c r="W227" s="246">
        <f>('OPEB Amounts_Report'!G227-'OPEB Amounts_Report'!M227)</f>
        <v>-367370</v>
      </c>
      <c r="X227" s="282">
        <f>SUM(Q227:U227)-('OPEB Amounts_Report'!G227-'OPEB Amounts_Report'!M227)</f>
        <v>0</v>
      </c>
    </row>
    <row r="228" spans="1:24" s="8" customFormat="1">
      <c r="A228" s="235">
        <v>32107</v>
      </c>
      <c r="B228" s="236" t="s">
        <v>216</v>
      </c>
      <c r="C228" s="245">
        <f t="shared" si="20"/>
        <v>-265260</v>
      </c>
      <c r="D228" s="245">
        <f t="shared" si="21"/>
        <v>-215088</v>
      </c>
      <c r="E228" s="245">
        <f t="shared" si="22"/>
        <v>-163477</v>
      </c>
      <c r="F228" s="245">
        <f t="shared" si="23"/>
        <v>-71583</v>
      </c>
      <c r="G228" s="245">
        <f t="shared" si="24"/>
        <v>-55638</v>
      </c>
      <c r="I228" s="51"/>
      <c r="K228" s="156">
        <f>ROUND(VLOOKUP($A228,'Contribution Allocation_Report'!$A$9:$D$310,4,FALSE)*$K$323,0)</f>
        <v>-152535</v>
      </c>
      <c r="L228" s="156">
        <f>ROUND(VLOOKUP($A228,'Contribution Allocation_Report'!$A$9:$D$310,4,FALSE)*$L$323,0)</f>
        <v>-95991</v>
      </c>
      <c r="M228" s="156">
        <f>ROUND(VLOOKUP($A228,'Contribution Allocation_Report'!$A$9:$D$310,4,FALSE)*$M$323,0)</f>
        <v>-54540</v>
      </c>
      <c r="N228" s="156">
        <f>ROUND(VLOOKUP($A228,'Contribution Allocation_Report'!$A$9:$D$310,4,FALSE)*$N$323,0)</f>
        <v>-10845</v>
      </c>
      <c r="O228" s="246">
        <f>ROUND(VLOOKUP($A228,'Contribution Allocation_Report'!$A$9:$D$310,4,FALSE)*$O$323,0)</f>
        <v>-44604</v>
      </c>
      <c r="Q228" s="246">
        <f>+K228+VLOOKUP(A228,'Change in Proportion Layers'!$A$8:$I$321,3,FALSE)+VLOOKUP(A228,'Change in Proportion Layers'!$A$8:$V$321,10,FALSE)+VLOOKUP(A228,'Change in Proportion Layers'!$A$8:$V$321,16,FALSE)+VLOOKUP(A228,'Change in Proportion Layers'!$A$8:$V$321,21,FALSE)</f>
        <v>-265260</v>
      </c>
      <c r="R228" s="246">
        <f>+L228+VLOOKUP(A228,'Change in Proportion Layers'!$A$8:$V$321,4,FALSE)+VLOOKUP(A228,'Change in Proportion Layers'!$A$8:$V$321,11,FALSE)+VLOOKUP(A228,'Change in Proportion Layers'!$A$8:$V$321,17,FALSE)+VLOOKUP(A228,'Change in Proportion Layers'!$A$8:$V$321,22,FALSE)</f>
        <v>-215088</v>
      </c>
      <c r="S228" s="246">
        <f>+M228+VLOOKUP(A228,'Change in Proportion Layers'!$A$8:$V$321,5,FALSE)+VLOOKUP(A228,'Change in Proportion Layers'!$A$8:$V$321,12,FALSE)+VLOOKUP(A228,'Change in Proportion Layers'!$A$8:$V$321,18,FALSE)</f>
        <v>-163477</v>
      </c>
      <c r="T228" s="246">
        <f>+N228+VLOOKUP(A228,'Change in Proportion Layers'!$A$8:$V$321,6,FALSE)+VLOOKUP(A228,'Change in Proportion Layers'!$A$8:$V$321,13,FALSE)</f>
        <v>-71583</v>
      </c>
      <c r="U228" s="246">
        <f>+O228+VLOOKUP(A228,'Change in Proportion Layers'!$A$8:$V$321,7,FALSE)</f>
        <v>-55638</v>
      </c>
      <c r="W228" s="246">
        <f>('OPEB Amounts_Report'!G228-'OPEB Amounts_Report'!M228)</f>
        <v>-771046</v>
      </c>
      <c r="X228" s="282">
        <f>SUM(Q228:U228)-('OPEB Amounts_Report'!G228-'OPEB Amounts_Report'!M228)</f>
        <v>0</v>
      </c>
    </row>
    <row r="229" spans="1:24" s="8" customFormat="1">
      <c r="A229" s="237">
        <v>3260</v>
      </c>
      <c r="B229" s="238" t="s">
        <v>217</v>
      </c>
      <c r="C229" s="48">
        <f t="shared" si="20"/>
        <v>-3618834</v>
      </c>
      <c r="D229" s="48">
        <f t="shared" si="21"/>
        <v>-2729700</v>
      </c>
      <c r="E229" s="48">
        <f t="shared" si="22"/>
        <v>-2060612</v>
      </c>
      <c r="F229" s="48">
        <f t="shared" si="23"/>
        <v>-673609</v>
      </c>
      <c r="G229" s="48">
        <f t="shared" si="24"/>
        <v>-1012472</v>
      </c>
      <c r="I229" s="51"/>
      <c r="K229" s="156">
        <f>ROUND(VLOOKUP($A229,'Contribution Allocation_Report'!$A$9:$D$310,4,FALSE)*$K$323,0)</f>
        <v>-2841393</v>
      </c>
      <c r="L229" s="156">
        <f>ROUND(VLOOKUP($A229,'Contribution Allocation_Report'!$A$9:$D$310,4,FALSE)*$L$323,0)</f>
        <v>-1788106</v>
      </c>
      <c r="M229" s="156">
        <f>ROUND(VLOOKUP($A229,'Contribution Allocation_Report'!$A$9:$D$310,4,FALSE)*$M$323,0)</f>
        <v>-1015969</v>
      </c>
      <c r="N229" s="156">
        <f>ROUND(VLOOKUP($A229,'Contribution Allocation_Report'!$A$9:$D$310,4,FALSE)*$N$323,0)</f>
        <v>-202023</v>
      </c>
      <c r="O229" s="246">
        <f>ROUND(VLOOKUP($A229,'Contribution Allocation_Report'!$A$9:$D$310,4,FALSE)*$O$323,0)</f>
        <v>-830875</v>
      </c>
      <c r="Q229" s="246">
        <f>+K229+VLOOKUP(A229,'Change in Proportion Layers'!$A$8:$I$321,3,FALSE)+VLOOKUP(A229,'Change in Proportion Layers'!$A$8:$V$321,10,FALSE)+VLOOKUP(A229,'Change in Proportion Layers'!$A$8:$V$321,16,FALSE)+VLOOKUP(A229,'Change in Proportion Layers'!$A$8:$V$321,21,FALSE)</f>
        <v>-3618834</v>
      </c>
      <c r="R229" s="246">
        <f>+L229+VLOOKUP(A229,'Change in Proportion Layers'!$A$8:$V$321,4,FALSE)+VLOOKUP(A229,'Change in Proportion Layers'!$A$8:$V$321,11,FALSE)+VLOOKUP(A229,'Change in Proportion Layers'!$A$8:$V$321,17,FALSE)+VLOOKUP(A229,'Change in Proportion Layers'!$A$8:$V$321,22,FALSE)</f>
        <v>-2729700</v>
      </c>
      <c r="S229" s="246">
        <f>+M229+VLOOKUP(A229,'Change in Proportion Layers'!$A$8:$V$321,5,FALSE)+VLOOKUP(A229,'Change in Proportion Layers'!$A$8:$V$321,12,FALSE)+VLOOKUP(A229,'Change in Proportion Layers'!$A$8:$V$321,18,FALSE)</f>
        <v>-2060612</v>
      </c>
      <c r="T229" s="246">
        <f>+N229+VLOOKUP(A229,'Change in Proportion Layers'!$A$8:$V$321,6,FALSE)+VLOOKUP(A229,'Change in Proportion Layers'!$A$8:$V$321,13,FALSE)</f>
        <v>-673609</v>
      </c>
      <c r="U229" s="246">
        <f>+O229+VLOOKUP(A229,'Change in Proportion Layers'!$A$8:$V$321,7,FALSE)</f>
        <v>-1012472</v>
      </c>
      <c r="W229" s="246">
        <f>('OPEB Amounts_Report'!G229-'OPEB Amounts_Report'!M229)</f>
        <v>-10095227</v>
      </c>
      <c r="X229" s="282">
        <f>SUM(Q229:U229)-('OPEB Amounts_Report'!G229-'OPEB Amounts_Report'!M229)</f>
        <v>0</v>
      </c>
    </row>
    <row r="230" spans="1:24" s="8" customFormat="1">
      <c r="A230" s="235">
        <v>4390</v>
      </c>
      <c r="B230" s="236" t="s">
        <v>218</v>
      </c>
      <c r="C230" s="245">
        <f t="shared" si="20"/>
        <v>-21244</v>
      </c>
      <c r="D230" s="245">
        <f t="shared" si="21"/>
        <v>-11684</v>
      </c>
      <c r="E230" s="245">
        <f t="shared" si="22"/>
        <v>-6181</v>
      </c>
      <c r="F230" s="245">
        <f t="shared" si="23"/>
        <v>3338</v>
      </c>
      <c r="G230" s="245">
        <f t="shared" si="24"/>
        <v>-4678</v>
      </c>
      <c r="I230" s="51"/>
      <c r="K230" s="156">
        <f>ROUND(VLOOKUP($A230,'Contribution Allocation_Report'!$A$9:$D$310,4,FALSE)*$K$323,0)</f>
        <v>-29016</v>
      </c>
      <c r="L230" s="156">
        <f>ROUND(VLOOKUP($A230,'Contribution Allocation_Report'!$A$9:$D$310,4,FALSE)*$L$323,0)</f>
        <v>-18260</v>
      </c>
      <c r="M230" s="156">
        <f>ROUND(VLOOKUP($A230,'Contribution Allocation_Report'!$A$9:$D$310,4,FALSE)*$M$323,0)</f>
        <v>-10375</v>
      </c>
      <c r="N230" s="156">
        <f>ROUND(VLOOKUP($A230,'Contribution Allocation_Report'!$A$9:$D$310,4,FALSE)*$N$323,0)</f>
        <v>-2063</v>
      </c>
      <c r="O230" s="246">
        <f>ROUND(VLOOKUP($A230,'Contribution Allocation_Report'!$A$9:$D$310,4,FALSE)*$O$323,0)</f>
        <v>-8485</v>
      </c>
      <c r="Q230" s="246">
        <f>+K230+VLOOKUP(A230,'Change in Proportion Layers'!$A$8:$I$321,3,FALSE)+VLOOKUP(A230,'Change in Proportion Layers'!$A$8:$V$321,10,FALSE)+VLOOKUP(A230,'Change in Proportion Layers'!$A$8:$V$321,16,FALSE)+VLOOKUP(A230,'Change in Proportion Layers'!$A$8:$V$321,21,FALSE)</f>
        <v>-21244</v>
      </c>
      <c r="R230" s="246">
        <f>+L230+VLOOKUP(A230,'Change in Proportion Layers'!$A$8:$V$321,4,FALSE)+VLOOKUP(A230,'Change in Proportion Layers'!$A$8:$V$321,11,FALSE)+VLOOKUP(A230,'Change in Proportion Layers'!$A$8:$V$321,17,FALSE)+VLOOKUP(A230,'Change in Proportion Layers'!$A$8:$V$321,22,FALSE)</f>
        <v>-11684</v>
      </c>
      <c r="S230" s="246">
        <f>+M230+VLOOKUP(A230,'Change in Proportion Layers'!$A$8:$V$321,5,FALSE)+VLOOKUP(A230,'Change in Proportion Layers'!$A$8:$V$321,12,FALSE)+VLOOKUP(A230,'Change in Proportion Layers'!$A$8:$V$321,18,FALSE)</f>
        <v>-6181</v>
      </c>
      <c r="T230" s="246">
        <f>+N230+VLOOKUP(A230,'Change in Proportion Layers'!$A$8:$V$321,6,FALSE)+VLOOKUP(A230,'Change in Proportion Layers'!$A$8:$V$321,13,FALSE)</f>
        <v>3338</v>
      </c>
      <c r="U230" s="246">
        <f>+O230+VLOOKUP(A230,'Change in Proportion Layers'!$A$8:$V$321,7,FALSE)-1</f>
        <v>-4678</v>
      </c>
      <c r="W230" s="246">
        <f>('OPEB Amounts_Report'!G230-'OPEB Amounts_Report'!M230)</f>
        <v>-40449</v>
      </c>
      <c r="X230" s="282">
        <f>SUM(Q230:U230)-('OPEB Amounts_Report'!G230-'OPEB Amounts_Report'!M230)</f>
        <v>0</v>
      </c>
    </row>
    <row r="231" spans="1:24" s="8" customFormat="1">
      <c r="A231" s="237">
        <v>3270</v>
      </c>
      <c r="B231" s="238" t="s">
        <v>219</v>
      </c>
      <c r="C231" s="48">
        <f t="shared" si="20"/>
        <v>-475338</v>
      </c>
      <c r="D231" s="48">
        <f t="shared" si="21"/>
        <v>-324991</v>
      </c>
      <c r="E231" s="48">
        <f t="shared" si="22"/>
        <v>-212233</v>
      </c>
      <c r="F231" s="48">
        <f t="shared" si="23"/>
        <v>-89612</v>
      </c>
      <c r="G231" s="48">
        <f t="shared" si="24"/>
        <v>-149574</v>
      </c>
      <c r="I231" s="51"/>
      <c r="K231" s="156">
        <f>ROUND(VLOOKUP($A231,'Contribution Allocation_Report'!$A$9:$D$310,4,FALSE)*$K$323,0)</f>
        <v>-406462</v>
      </c>
      <c r="L231" s="156">
        <f>ROUND(VLOOKUP($A231,'Contribution Allocation_Report'!$A$9:$D$310,4,FALSE)*$L$323,0)</f>
        <v>-255789</v>
      </c>
      <c r="M231" s="156">
        <f>ROUND(VLOOKUP($A231,'Contribution Allocation_Report'!$A$9:$D$310,4,FALSE)*$M$323,0)</f>
        <v>-145335</v>
      </c>
      <c r="N231" s="156">
        <f>ROUND(VLOOKUP($A231,'Contribution Allocation_Report'!$A$9:$D$310,4,FALSE)*$N$323,0)</f>
        <v>-28899</v>
      </c>
      <c r="O231" s="246">
        <f>ROUND(VLOOKUP($A231,'Contribution Allocation_Report'!$A$9:$D$310,4,FALSE)*$O$323,0)</f>
        <v>-118857</v>
      </c>
      <c r="Q231" s="246">
        <f>+K231+VLOOKUP(A231,'Change in Proportion Layers'!$A$8:$I$321,3,FALSE)+VLOOKUP(A231,'Change in Proportion Layers'!$A$8:$V$321,10,FALSE)+VLOOKUP(A231,'Change in Proportion Layers'!$A$8:$V$321,16,FALSE)+VLOOKUP(A231,'Change in Proportion Layers'!$A$8:$V$321,21,FALSE)</f>
        <v>-475338</v>
      </c>
      <c r="R231" s="246">
        <f>+L231+VLOOKUP(A231,'Change in Proportion Layers'!$A$8:$V$321,4,FALSE)+VLOOKUP(A231,'Change in Proportion Layers'!$A$8:$V$321,11,FALSE)+VLOOKUP(A231,'Change in Proportion Layers'!$A$8:$V$321,17,FALSE)+VLOOKUP(A231,'Change in Proportion Layers'!$A$8:$V$321,22,FALSE)</f>
        <v>-324991</v>
      </c>
      <c r="S231" s="246">
        <f>+M231+VLOOKUP(A231,'Change in Proportion Layers'!$A$8:$V$321,5,FALSE)+VLOOKUP(A231,'Change in Proportion Layers'!$A$8:$V$321,12,FALSE)+VLOOKUP(A231,'Change in Proportion Layers'!$A$8:$V$321,18,FALSE)</f>
        <v>-212233</v>
      </c>
      <c r="T231" s="246">
        <f>+N231+VLOOKUP(A231,'Change in Proportion Layers'!$A$8:$V$321,6,FALSE)+VLOOKUP(A231,'Change in Proportion Layers'!$A$8:$V$321,13,FALSE)</f>
        <v>-89612</v>
      </c>
      <c r="U231" s="246">
        <f>+O231+VLOOKUP(A231,'Change in Proportion Layers'!$A$8:$V$321,7,FALSE)-1</f>
        <v>-149574</v>
      </c>
      <c r="W231" s="246">
        <f>('OPEB Amounts_Report'!G231-'OPEB Amounts_Report'!M231)</f>
        <v>-1251748</v>
      </c>
      <c r="X231" s="282">
        <f>SUM(Q231:U231)-('OPEB Amounts_Report'!G231-'OPEB Amounts_Report'!M231)</f>
        <v>0</v>
      </c>
    </row>
    <row r="232" spans="1:24" s="8" customFormat="1">
      <c r="A232" s="235">
        <v>29303</v>
      </c>
      <c r="B232" s="236" t="s">
        <v>220</v>
      </c>
      <c r="C232" s="245">
        <f t="shared" si="20"/>
        <v>-14400</v>
      </c>
      <c r="D232" s="245">
        <f t="shared" si="21"/>
        <v>28282</v>
      </c>
      <c r="E232" s="245">
        <f t="shared" si="22"/>
        <v>63268</v>
      </c>
      <c r="F232" s="245">
        <f t="shared" si="23"/>
        <v>73248</v>
      </c>
      <c r="G232" s="245">
        <f t="shared" si="24"/>
        <v>-6378</v>
      </c>
      <c r="I232" s="51"/>
      <c r="K232" s="156">
        <f>ROUND(VLOOKUP($A232,'Contribution Allocation_Report'!$A$9:$D$310,4,FALSE)*$K$323,0)</f>
        <v>-96190</v>
      </c>
      <c r="L232" s="156">
        <f>ROUND(VLOOKUP($A232,'Contribution Allocation_Report'!$A$9:$D$310,4,FALSE)*$L$323,0)</f>
        <v>-60533</v>
      </c>
      <c r="M232" s="156">
        <f>ROUND(VLOOKUP($A232,'Contribution Allocation_Report'!$A$9:$D$310,4,FALSE)*$M$323,0)</f>
        <v>-34394</v>
      </c>
      <c r="N232" s="156">
        <f>ROUND(VLOOKUP($A232,'Contribution Allocation_Report'!$A$9:$D$310,4,FALSE)*$N$323,0)</f>
        <v>-6839</v>
      </c>
      <c r="O232" s="246">
        <f>ROUND(VLOOKUP($A232,'Contribution Allocation_Report'!$A$9:$D$310,4,FALSE)*$O$323,0)</f>
        <v>-28128</v>
      </c>
      <c r="Q232" s="246">
        <f>+K232+VLOOKUP(A232,'Change in Proportion Layers'!$A$8:$I$321,3,FALSE)+VLOOKUP(A232,'Change in Proportion Layers'!$A$8:$V$321,10,FALSE)+VLOOKUP(A232,'Change in Proportion Layers'!$A$8:$V$321,16,FALSE)+VLOOKUP(A232,'Change in Proportion Layers'!$A$8:$V$321,21,FALSE)</f>
        <v>-14400</v>
      </c>
      <c r="R232" s="246">
        <f>+L232+VLOOKUP(A232,'Change in Proportion Layers'!$A$8:$V$321,4,FALSE)+VLOOKUP(A232,'Change in Proportion Layers'!$A$8:$V$321,11,FALSE)+VLOOKUP(A232,'Change in Proportion Layers'!$A$8:$V$321,17,FALSE)+VLOOKUP(A232,'Change in Proportion Layers'!$A$8:$V$321,22,FALSE)</f>
        <v>28282</v>
      </c>
      <c r="S232" s="246">
        <f>+M232+VLOOKUP(A232,'Change in Proportion Layers'!$A$8:$V$321,5,FALSE)+VLOOKUP(A232,'Change in Proportion Layers'!$A$8:$V$321,12,FALSE)+VLOOKUP(A232,'Change in Proportion Layers'!$A$8:$V$321,18,FALSE)</f>
        <v>63268</v>
      </c>
      <c r="T232" s="246">
        <f>+N232+VLOOKUP(A232,'Change in Proportion Layers'!$A$8:$V$321,6,FALSE)+VLOOKUP(A232,'Change in Proportion Layers'!$A$8:$V$321,13,FALSE)</f>
        <v>73248</v>
      </c>
      <c r="U232" s="246">
        <f>+O232+VLOOKUP(A232,'Change in Proportion Layers'!$A$8:$V$321,7,FALSE)+2</f>
        <v>-6378</v>
      </c>
      <c r="W232" s="246">
        <f>('OPEB Amounts_Report'!G232-'OPEB Amounts_Report'!M232)</f>
        <v>144020</v>
      </c>
      <c r="X232" s="282">
        <f>SUM(Q232:U232)-('OPEB Amounts_Report'!G232-'OPEB Amounts_Report'!M232)</f>
        <v>0</v>
      </c>
    </row>
    <row r="233" spans="1:24" s="8" customFormat="1">
      <c r="A233" s="237">
        <v>3280</v>
      </c>
      <c r="B233" s="238" t="s">
        <v>221</v>
      </c>
      <c r="C233" s="48">
        <f t="shared" si="20"/>
        <v>-2141824</v>
      </c>
      <c r="D233" s="48">
        <f t="shared" si="21"/>
        <v>-1592535</v>
      </c>
      <c r="E233" s="48">
        <f t="shared" si="22"/>
        <v>-1246414</v>
      </c>
      <c r="F233" s="48">
        <f t="shared" si="23"/>
        <v>-143266</v>
      </c>
      <c r="G233" s="48">
        <f t="shared" si="24"/>
        <v>-411438</v>
      </c>
      <c r="I233" s="51"/>
      <c r="K233" s="156">
        <f>ROUND(VLOOKUP($A233,'Contribution Allocation_Report'!$A$9:$D$310,4,FALSE)*$K$323,0)</f>
        <v>-1999546</v>
      </c>
      <c r="L233" s="156">
        <f>ROUND(VLOOKUP($A233,'Contribution Allocation_Report'!$A$9:$D$310,4,FALSE)*$L$323,0)</f>
        <v>-1258326</v>
      </c>
      <c r="M233" s="156">
        <f>ROUND(VLOOKUP($A233,'Contribution Allocation_Report'!$A$9:$D$310,4,FALSE)*$M$323,0)</f>
        <v>-714958</v>
      </c>
      <c r="N233" s="156">
        <f>ROUND(VLOOKUP($A233,'Contribution Allocation_Report'!$A$9:$D$310,4,FALSE)*$N$323,0)</f>
        <v>-142168</v>
      </c>
      <c r="O233" s="246">
        <f>ROUND(VLOOKUP($A233,'Contribution Allocation_Report'!$A$9:$D$310,4,FALSE)*$O$323,0)</f>
        <v>-584703</v>
      </c>
      <c r="Q233" s="246">
        <f>+K233+VLOOKUP(A233,'Change in Proportion Layers'!$A$8:$I$321,3,FALSE)+VLOOKUP(A233,'Change in Proportion Layers'!$A$8:$V$321,10,FALSE)+VLOOKUP(A233,'Change in Proportion Layers'!$A$8:$V$321,16,FALSE)+VLOOKUP(A233,'Change in Proportion Layers'!$A$8:$V$321,21,FALSE)</f>
        <v>-2141824</v>
      </c>
      <c r="R233" s="246">
        <f>+L233+VLOOKUP(A233,'Change in Proportion Layers'!$A$8:$V$321,4,FALSE)+VLOOKUP(A233,'Change in Proportion Layers'!$A$8:$V$321,11,FALSE)+VLOOKUP(A233,'Change in Proportion Layers'!$A$8:$V$321,17,FALSE)+VLOOKUP(A233,'Change in Proportion Layers'!$A$8:$V$321,22,FALSE)</f>
        <v>-1592535</v>
      </c>
      <c r="S233" s="246">
        <f>+M233+VLOOKUP(A233,'Change in Proportion Layers'!$A$8:$V$321,5,FALSE)+VLOOKUP(A233,'Change in Proportion Layers'!$A$8:$V$321,12,FALSE)+VLOOKUP(A233,'Change in Proportion Layers'!$A$8:$V$321,18,FALSE)</f>
        <v>-1246414</v>
      </c>
      <c r="T233" s="246">
        <f>+N233+VLOOKUP(A233,'Change in Proportion Layers'!$A$8:$V$321,6,FALSE)+VLOOKUP(A233,'Change in Proportion Layers'!$A$8:$V$321,13,FALSE)</f>
        <v>-143266</v>
      </c>
      <c r="U233" s="246">
        <f>+O233+VLOOKUP(A233,'Change in Proportion Layers'!$A$8:$V$321,7,FALSE)+1</f>
        <v>-411438</v>
      </c>
      <c r="W233" s="246">
        <f>('OPEB Amounts_Report'!G233-'OPEB Amounts_Report'!M233)</f>
        <v>-5535477</v>
      </c>
      <c r="X233" s="282">
        <f>SUM(Q233:U233)-('OPEB Amounts_Report'!G233-'OPEB Amounts_Report'!M233)</f>
        <v>0</v>
      </c>
    </row>
    <row r="234" spans="1:24" s="8" customFormat="1">
      <c r="A234" s="235">
        <v>4260</v>
      </c>
      <c r="B234" s="236" t="s">
        <v>222</v>
      </c>
      <c r="C234" s="245">
        <f t="shared" si="20"/>
        <v>-139410</v>
      </c>
      <c r="D234" s="245">
        <f t="shared" si="21"/>
        <v>-89252</v>
      </c>
      <c r="E234" s="245">
        <f t="shared" si="22"/>
        <v>-64660</v>
      </c>
      <c r="F234" s="245">
        <f t="shared" si="23"/>
        <v>-30255</v>
      </c>
      <c r="G234" s="245">
        <f t="shared" si="24"/>
        <v>-56571</v>
      </c>
      <c r="I234" s="51"/>
      <c r="K234" s="156">
        <f>ROUND(VLOOKUP($A234,'Contribution Allocation_Report'!$A$9:$D$310,4,FALSE)*$K$323,0)</f>
        <v>-146769</v>
      </c>
      <c r="L234" s="156">
        <f>ROUND(VLOOKUP($A234,'Contribution Allocation_Report'!$A$9:$D$310,4,FALSE)*$L$323,0)</f>
        <v>-92363</v>
      </c>
      <c r="M234" s="156">
        <f>ROUND(VLOOKUP($A234,'Contribution Allocation_Report'!$A$9:$D$310,4,FALSE)*$M$323,0)</f>
        <v>-52479</v>
      </c>
      <c r="N234" s="156">
        <f>ROUND(VLOOKUP($A234,'Contribution Allocation_Report'!$A$9:$D$310,4,FALSE)*$N$323,0)</f>
        <v>-10435</v>
      </c>
      <c r="O234" s="246">
        <f>ROUND(VLOOKUP($A234,'Contribution Allocation_Report'!$A$9:$D$310,4,FALSE)*$O$323,0)</f>
        <v>-42918</v>
      </c>
      <c r="Q234" s="246">
        <f>+K234+VLOOKUP(A234,'Change in Proportion Layers'!$A$8:$I$321,3,FALSE)+VLOOKUP(A234,'Change in Proportion Layers'!$A$8:$V$321,10,FALSE)+VLOOKUP(A234,'Change in Proportion Layers'!$A$8:$V$321,16,FALSE)+VLOOKUP(A234,'Change in Proportion Layers'!$A$8:$V$321,21,FALSE)</f>
        <v>-139410</v>
      </c>
      <c r="R234" s="246">
        <f>+L234+VLOOKUP(A234,'Change in Proportion Layers'!$A$8:$V$321,4,FALSE)+VLOOKUP(A234,'Change in Proportion Layers'!$A$8:$V$321,11,FALSE)+VLOOKUP(A234,'Change in Proportion Layers'!$A$8:$V$321,17,FALSE)+VLOOKUP(A234,'Change in Proportion Layers'!$A$8:$V$321,22,FALSE)</f>
        <v>-89252</v>
      </c>
      <c r="S234" s="246">
        <f>+M234+VLOOKUP(A234,'Change in Proportion Layers'!$A$8:$V$321,5,FALSE)+VLOOKUP(A234,'Change in Proportion Layers'!$A$8:$V$321,12,FALSE)+VLOOKUP(A234,'Change in Proportion Layers'!$A$8:$V$321,18,FALSE)</f>
        <v>-64660</v>
      </c>
      <c r="T234" s="246">
        <f>+N234+VLOOKUP(A234,'Change in Proportion Layers'!$A$8:$V$321,6,FALSE)+VLOOKUP(A234,'Change in Proportion Layers'!$A$8:$V$321,13,FALSE)</f>
        <v>-30255</v>
      </c>
      <c r="U234" s="246">
        <f>+O234+VLOOKUP(A234,'Change in Proportion Layers'!$A$8:$V$321,7,FALSE)</f>
        <v>-56571</v>
      </c>
      <c r="W234" s="246">
        <f>('OPEB Amounts_Report'!G234-'OPEB Amounts_Report'!M234)</f>
        <v>-380148</v>
      </c>
      <c r="X234" s="282">
        <f>SUM(Q234:U234)-('OPEB Amounts_Report'!G234-'OPEB Amounts_Report'!M234)</f>
        <v>0</v>
      </c>
    </row>
    <row r="235" spans="1:24" s="8" customFormat="1">
      <c r="A235" s="237">
        <v>1003</v>
      </c>
      <c r="B235" s="238" t="s">
        <v>223</v>
      </c>
      <c r="C235" s="48">
        <f t="shared" si="20"/>
        <v>-3103941</v>
      </c>
      <c r="D235" s="48">
        <f t="shared" si="21"/>
        <v>-2215801</v>
      </c>
      <c r="E235" s="48">
        <f t="shared" si="22"/>
        <v>-1283596</v>
      </c>
      <c r="F235" s="48">
        <f t="shared" si="23"/>
        <v>-611861</v>
      </c>
      <c r="G235" s="48">
        <f t="shared" si="24"/>
        <v>-889446</v>
      </c>
      <c r="I235" s="51"/>
      <c r="K235" s="156">
        <f>ROUND(VLOOKUP($A235,'Contribution Allocation_Report'!$A$9:$D$310,4,FALSE)*$K$323,0)</f>
        <v>-2050172</v>
      </c>
      <c r="L235" s="156">
        <f>ROUND(VLOOKUP($A235,'Contribution Allocation_Report'!$A$9:$D$310,4,FALSE)*$L$323,0)</f>
        <v>-1290185</v>
      </c>
      <c r="M235" s="156">
        <f>ROUND(VLOOKUP($A235,'Contribution Allocation_Report'!$A$9:$D$310,4,FALSE)*$M$323,0)</f>
        <v>-733060</v>
      </c>
      <c r="N235" s="156">
        <f>ROUND(VLOOKUP($A235,'Contribution Allocation_Report'!$A$9:$D$310,4,FALSE)*$N$323,0)</f>
        <v>-145767</v>
      </c>
      <c r="O235" s="246">
        <f>ROUND(VLOOKUP($A235,'Contribution Allocation_Report'!$A$9:$D$310,4,FALSE)*$O$323,0)</f>
        <v>-599507</v>
      </c>
      <c r="Q235" s="246">
        <f>+K235+VLOOKUP(A235,'Change in Proportion Layers'!$A$8:$I$321,3,FALSE)+VLOOKUP(A235,'Change in Proportion Layers'!$A$8:$V$321,10,FALSE)+VLOOKUP(A235,'Change in Proportion Layers'!$A$8:$V$321,16,FALSE)+VLOOKUP(A235,'Change in Proportion Layers'!$A$8:$V$321,21,FALSE)</f>
        <v>-3103941</v>
      </c>
      <c r="R235" s="246">
        <f>+L235+VLOOKUP(A235,'Change in Proportion Layers'!$A$8:$V$321,4,FALSE)+VLOOKUP(A235,'Change in Proportion Layers'!$A$8:$V$321,11,FALSE)+VLOOKUP(A235,'Change in Proportion Layers'!$A$8:$V$321,17,FALSE)+VLOOKUP(A235,'Change in Proportion Layers'!$A$8:$V$321,22,FALSE)</f>
        <v>-2215801</v>
      </c>
      <c r="S235" s="246">
        <f>+M235+VLOOKUP(A235,'Change in Proportion Layers'!$A$8:$V$321,5,FALSE)+VLOOKUP(A235,'Change in Proportion Layers'!$A$8:$V$321,12,FALSE)+VLOOKUP(A235,'Change in Proportion Layers'!$A$8:$V$321,18,FALSE)</f>
        <v>-1283596</v>
      </c>
      <c r="T235" s="246">
        <f>+N235+VLOOKUP(A235,'Change in Proportion Layers'!$A$8:$V$321,6,FALSE)+VLOOKUP(A235,'Change in Proportion Layers'!$A$8:$V$321,13,FALSE)</f>
        <v>-611861</v>
      </c>
      <c r="U235" s="246">
        <f>+O235+VLOOKUP(A235,'Change in Proportion Layers'!$A$8:$V$321,7,FALSE)</f>
        <v>-889446</v>
      </c>
      <c r="W235" s="246">
        <f>('OPEB Amounts_Report'!G235-'OPEB Amounts_Report'!M235)</f>
        <v>-8104645</v>
      </c>
      <c r="X235" s="282">
        <f>SUM(Q235:U235)-('OPEB Amounts_Report'!G235-'OPEB Amounts_Report'!M235)</f>
        <v>0</v>
      </c>
    </row>
    <row r="236" spans="1:24" s="8" customFormat="1">
      <c r="A236" s="235">
        <v>3290</v>
      </c>
      <c r="B236" s="236" t="s">
        <v>224</v>
      </c>
      <c r="C236" s="245">
        <f t="shared" si="20"/>
        <v>-4886426</v>
      </c>
      <c r="D236" s="245">
        <f t="shared" si="21"/>
        <v>-3393854</v>
      </c>
      <c r="E236" s="245">
        <f t="shared" si="22"/>
        <v>-2523409</v>
      </c>
      <c r="F236" s="245">
        <f t="shared" si="23"/>
        <v>-1248472</v>
      </c>
      <c r="G236" s="245">
        <f t="shared" si="24"/>
        <v>-1531794</v>
      </c>
      <c r="I236" s="51"/>
      <c r="K236" s="156">
        <f>ROUND(VLOOKUP($A236,'Contribution Allocation_Report'!$A$9:$D$310,4,FALSE)*$K$323,0)</f>
        <v>-4363834</v>
      </c>
      <c r="L236" s="156">
        <f>ROUND(VLOOKUP($A236,'Contribution Allocation_Report'!$A$9:$D$310,4,FALSE)*$L$323,0)</f>
        <v>-2746187</v>
      </c>
      <c r="M236" s="156">
        <f>ROUND(VLOOKUP($A236,'Contribution Allocation_Report'!$A$9:$D$310,4,FALSE)*$M$323,0)</f>
        <v>-1560333</v>
      </c>
      <c r="N236" s="156">
        <f>ROUND(VLOOKUP($A236,'Contribution Allocation_Report'!$A$9:$D$310,4,FALSE)*$N$323,0)</f>
        <v>-310269</v>
      </c>
      <c r="O236" s="246">
        <f>ROUND(VLOOKUP($A236,'Contribution Allocation_Report'!$A$9:$D$310,4,FALSE)*$O$323,0)</f>
        <v>-1276064</v>
      </c>
      <c r="Q236" s="246">
        <f>+K236+VLOOKUP(A236,'Change in Proportion Layers'!$A$8:$I$321,3,FALSE)+VLOOKUP(A236,'Change in Proportion Layers'!$A$8:$V$321,10,FALSE)+VLOOKUP(A236,'Change in Proportion Layers'!$A$8:$V$321,16,FALSE)+VLOOKUP(A236,'Change in Proportion Layers'!$A$8:$V$321,21,FALSE)</f>
        <v>-4886426</v>
      </c>
      <c r="R236" s="246">
        <f>+L236+VLOOKUP(A236,'Change in Proportion Layers'!$A$8:$V$321,4,FALSE)+VLOOKUP(A236,'Change in Proportion Layers'!$A$8:$V$321,11,FALSE)+VLOOKUP(A236,'Change in Proportion Layers'!$A$8:$V$321,17,FALSE)+VLOOKUP(A236,'Change in Proportion Layers'!$A$8:$V$321,22,FALSE)</f>
        <v>-3393854</v>
      </c>
      <c r="S236" s="246">
        <f>+M236+VLOOKUP(A236,'Change in Proportion Layers'!$A$8:$V$321,5,FALSE)+VLOOKUP(A236,'Change in Proportion Layers'!$A$8:$V$321,12,FALSE)+VLOOKUP(A236,'Change in Proportion Layers'!$A$8:$V$321,18,FALSE)</f>
        <v>-2523409</v>
      </c>
      <c r="T236" s="246">
        <f>+N236+VLOOKUP(A236,'Change in Proportion Layers'!$A$8:$V$321,6,FALSE)+VLOOKUP(A236,'Change in Proportion Layers'!$A$8:$V$321,13,FALSE)</f>
        <v>-1248472</v>
      </c>
      <c r="U236" s="246">
        <f>+O236+VLOOKUP(A236,'Change in Proportion Layers'!$A$8:$V$321,7,FALSE)-1</f>
        <v>-1531794</v>
      </c>
      <c r="W236" s="246">
        <f>('OPEB Amounts_Report'!G236-'OPEB Amounts_Report'!M236)</f>
        <v>-13583955</v>
      </c>
      <c r="X236" s="282">
        <f>SUM(Q236:U236)-('OPEB Amounts_Report'!G236-'OPEB Amounts_Report'!M236)</f>
        <v>0</v>
      </c>
    </row>
    <row r="237" spans="1:24" s="8" customFormat="1">
      <c r="A237" s="237">
        <v>1002</v>
      </c>
      <c r="B237" s="238" t="s">
        <v>225</v>
      </c>
      <c r="C237" s="48">
        <f t="shared" si="20"/>
        <v>-8154963</v>
      </c>
      <c r="D237" s="48">
        <f t="shared" si="21"/>
        <v>-5032663</v>
      </c>
      <c r="E237" s="48">
        <f t="shared" si="22"/>
        <v>-2645392</v>
      </c>
      <c r="F237" s="48">
        <f t="shared" si="23"/>
        <v>-446212</v>
      </c>
      <c r="G237" s="48">
        <f t="shared" si="24"/>
        <v>-2743110</v>
      </c>
      <c r="I237" s="51"/>
      <c r="K237" s="156">
        <f>ROUND(VLOOKUP($A237,'Contribution Allocation_Report'!$A$9:$D$310,4,FALSE)*$K$323,0)</f>
        <v>-8170217</v>
      </c>
      <c r="L237" s="156">
        <f>ROUND(VLOOKUP($A237,'Contribution Allocation_Report'!$A$9:$D$310,4,FALSE)*$L$323,0)</f>
        <v>-5141567</v>
      </c>
      <c r="M237" s="156">
        <f>ROUND(VLOOKUP($A237,'Contribution Allocation_Report'!$A$9:$D$310,4,FALSE)*$M$323,0)</f>
        <v>-2921344</v>
      </c>
      <c r="N237" s="156">
        <f>ROUND(VLOOKUP($A237,'Contribution Allocation_Report'!$A$9:$D$310,4,FALSE)*$N$323,0)</f>
        <v>-580903</v>
      </c>
      <c r="O237" s="246">
        <f>ROUND(VLOOKUP($A237,'Contribution Allocation_Report'!$A$9:$D$310,4,FALSE)*$O$323,0)</f>
        <v>-2389120</v>
      </c>
      <c r="Q237" s="246">
        <f>+K237+VLOOKUP(A237,'Change in Proportion Layers'!$A$8:$I$321,3,FALSE)+VLOOKUP(A237,'Change in Proportion Layers'!$A$8:$V$321,10,FALSE)+VLOOKUP(A237,'Change in Proportion Layers'!$A$8:$V$321,16,FALSE)+VLOOKUP(A237,'Change in Proportion Layers'!$A$8:$V$321,21,FALSE)</f>
        <v>-8154963</v>
      </c>
      <c r="R237" s="246">
        <f>+L237+VLOOKUP(A237,'Change in Proportion Layers'!$A$8:$V$321,4,FALSE)+VLOOKUP(A237,'Change in Proportion Layers'!$A$8:$V$321,11,FALSE)+VLOOKUP(A237,'Change in Proportion Layers'!$A$8:$V$321,17,FALSE)+VLOOKUP(A237,'Change in Proportion Layers'!$A$8:$V$321,22,FALSE)</f>
        <v>-5032663</v>
      </c>
      <c r="S237" s="246">
        <f>+M237+VLOOKUP(A237,'Change in Proportion Layers'!$A$8:$V$321,5,FALSE)+VLOOKUP(A237,'Change in Proportion Layers'!$A$8:$V$321,12,FALSE)+VLOOKUP(A237,'Change in Proportion Layers'!$A$8:$V$321,18,FALSE)</f>
        <v>-2645392</v>
      </c>
      <c r="T237" s="246">
        <f>+N237+VLOOKUP(A237,'Change in Proportion Layers'!$A$8:$V$321,6,FALSE)+VLOOKUP(A237,'Change in Proportion Layers'!$A$8:$V$321,13,FALSE)</f>
        <v>-446212</v>
      </c>
      <c r="U237" s="246">
        <f>+O237+VLOOKUP(A237,'Change in Proportion Layers'!$A$8:$V$321,7,FALSE)-1</f>
        <v>-2743110</v>
      </c>
      <c r="W237" s="246">
        <f>('OPEB Amounts_Report'!G237-'OPEB Amounts_Report'!M237)</f>
        <v>-19022340</v>
      </c>
      <c r="X237" s="282">
        <f>SUM(Q237:U237)-('OPEB Amounts_Report'!G237-'OPEB Amounts_Report'!M237)</f>
        <v>0</v>
      </c>
    </row>
    <row r="238" spans="1:24" s="217" customFormat="1">
      <c r="A238" s="235">
        <v>4270</v>
      </c>
      <c r="B238" s="236" t="s">
        <v>449</v>
      </c>
      <c r="C238" s="245">
        <f t="shared" ref="C238" si="25">+Q238</f>
        <v>129085</v>
      </c>
      <c r="D238" s="245">
        <f t="shared" ref="D238" si="26">+R238</f>
        <v>194838</v>
      </c>
      <c r="E238" s="245">
        <f t="shared" ref="E238" si="27">+S238</f>
        <v>243040</v>
      </c>
      <c r="F238" s="245">
        <f t="shared" ref="F238" si="28">+T238</f>
        <v>293852</v>
      </c>
      <c r="G238" s="245">
        <f t="shared" ref="G238" si="29">+U238</f>
        <v>248467</v>
      </c>
      <c r="I238" s="247"/>
      <c r="K238" s="246">
        <f>ROUND(VLOOKUP($A238,'Contribution Allocation_Report'!$A$9:$D$310,4,FALSE)*$K$323,0)</f>
        <v>-177379</v>
      </c>
      <c r="L238" s="246">
        <f>ROUND(VLOOKUP($A238,'Contribution Allocation_Report'!$A$9:$D$310,4,FALSE)*$L$323,0)</f>
        <v>-111626</v>
      </c>
      <c r="M238" s="246">
        <f>ROUND(VLOOKUP($A238,'Contribution Allocation_Report'!$A$9:$D$310,4,FALSE)*$M$323,0)</f>
        <v>-63424</v>
      </c>
      <c r="N238" s="246">
        <f>ROUND(VLOOKUP($A238,'Contribution Allocation_Report'!$A$9:$D$310,4,FALSE)*$N$323,0)</f>
        <v>-12612</v>
      </c>
      <c r="O238" s="246">
        <f>ROUND(VLOOKUP($A238,'Contribution Allocation_Report'!$A$9:$D$310,4,FALSE)*$O$323,0)</f>
        <v>-51869</v>
      </c>
      <c r="Q238" s="246">
        <f>+K238+VLOOKUP(A238,'Change in Proportion Layers'!$A$8:$I$321,3,FALSE)+VLOOKUP(A238,'Change in Proportion Layers'!$A$8:$V$321,10,FALSE)+VLOOKUP(A238,'Change in Proportion Layers'!$A$8:$V$321,16,FALSE)+VLOOKUP(A238,'Change in Proportion Layers'!$A$8:$V$321,21,FALSE)</f>
        <v>129085</v>
      </c>
      <c r="R238" s="246">
        <f>+L238+VLOOKUP(A238,'Change in Proportion Layers'!$A$8:$V$321,4,FALSE)+VLOOKUP(A238,'Change in Proportion Layers'!$A$8:$V$321,11,FALSE)+VLOOKUP(A238,'Change in Proportion Layers'!$A$8:$V$321,17,FALSE)+VLOOKUP(A238,'Change in Proportion Layers'!$A$8:$V$321,22,FALSE)</f>
        <v>194838</v>
      </c>
      <c r="S238" s="246">
        <f>+M238+VLOOKUP(A238,'Change in Proportion Layers'!$A$8:$V$321,5,FALSE)+VLOOKUP(A238,'Change in Proportion Layers'!$A$8:$V$321,12,FALSE)+VLOOKUP(A238,'Change in Proportion Layers'!$A$8:$V$321,18,FALSE)</f>
        <v>243040</v>
      </c>
      <c r="T238" s="246">
        <f>+N238+VLOOKUP(A238,'Change in Proportion Layers'!$A$8:$V$321,6,FALSE)+VLOOKUP(A238,'Change in Proportion Layers'!$A$8:$V$321,13,FALSE)</f>
        <v>293852</v>
      </c>
      <c r="U238" s="246">
        <f>+O238+VLOOKUP(A238,'Change in Proportion Layers'!$A$8:$V$321,7,FALSE)+1</f>
        <v>248467</v>
      </c>
      <c r="W238" s="246">
        <f>('OPEB Amounts_Report'!G238-'OPEB Amounts_Report'!M238)</f>
        <v>1109282</v>
      </c>
      <c r="X238" s="282">
        <f>SUM(Q238:U238)-('OPEB Amounts_Report'!G238-'OPEB Amounts_Report'!M238)</f>
        <v>0</v>
      </c>
    </row>
    <row r="239" spans="1:24" s="8" customFormat="1">
      <c r="A239" s="237">
        <v>24072</v>
      </c>
      <c r="B239" s="238" t="s">
        <v>226</v>
      </c>
      <c r="C239" s="48">
        <f t="shared" si="20"/>
        <v>-513618</v>
      </c>
      <c r="D239" s="48">
        <f t="shared" si="21"/>
        <v>-274198</v>
      </c>
      <c r="E239" s="48">
        <f t="shared" si="22"/>
        <v>-65741</v>
      </c>
      <c r="F239" s="48">
        <f t="shared" si="23"/>
        <v>78939</v>
      </c>
      <c r="G239" s="48">
        <f t="shared" si="24"/>
        <v>-66434</v>
      </c>
      <c r="I239" s="51"/>
      <c r="K239" s="156">
        <f>ROUND(VLOOKUP($A239,'Contribution Allocation_Report'!$A$9:$D$310,4,FALSE)*$K$323,0)</f>
        <v>-580044</v>
      </c>
      <c r="L239" s="156">
        <f>ROUND(VLOOKUP($A239,'Contribution Allocation_Report'!$A$9:$D$310,4,FALSE)*$L$323,0)</f>
        <v>-365025</v>
      </c>
      <c r="M239" s="156">
        <f>ROUND(VLOOKUP($A239,'Contribution Allocation_Report'!$A$9:$D$310,4,FALSE)*$M$323,0)</f>
        <v>-207401</v>
      </c>
      <c r="N239" s="156">
        <f>ROUND(VLOOKUP($A239,'Contribution Allocation_Report'!$A$9:$D$310,4,FALSE)*$N$323,0)</f>
        <v>-41241</v>
      </c>
      <c r="O239" s="246">
        <f>ROUND(VLOOKUP($A239,'Contribution Allocation_Report'!$A$9:$D$310,4,FALSE)*$O$323,0)</f>
        <v>-169616</v>
      </c>
      <c r="Q239" s="246">
        <f>+K239+VLOOKUP(A239,'Change in Proportion Layers'!$A$8:$I$321,3,FALSE)+VLOOKUP(A239,'Change in Proportion Layers'!$A$8:$V$321,10,FALSE)+VLOOKUP(A239,'Change in Proportion Layers'!$A$8:$V$321,16,FALSE)+VLOOKUP(A239,'Change in Proportion Layers'!$A$8:$V$321,21,FALSE)</f>
        <v>-513618</v>
      </c>
      <c r="R239" s="246">
        <f>+L239+VLOOKUP(A239,'Change in Proportion Layers'!$A$8:$V$321,4,FALSE)+VLOOKUP(A239,'Change in Proportion Layers'!$A$8:$V$321,11,FALSE)+VLOOKUP(A239,'Change in Proportion Layers'!$A$8:$V$321,17,FALSE)+VLOOKUP(A239,'Change in Proportion Layers'!$A$8:$V$321,22,FALSE)</f>
        <v>-274198</v>
      </c>
      <c r="S239" s="246">
        <f>+M239+VLOOKUP(A239,'Change in Proportion Layers'!$A$8:$V$321,5,FALSE)+VLOOKUP(A239,'Change in Proportion Layers'!$A$8:$V$321,12,FALSE)+VLOOKUP(A239,'Change in Proportion Layers'!$A$8:$V$321,18,FALSE)</f>
        <v>-65741</v>
      </c>
      <c r="T239" s="246">
        <f>+N239+VLOOKUP(A239,'Change in Proportion Layers'!$A$8:$V$321,6,FALSE)+VLOOKUP(A239,'Change in Proportion Layers'!$A$8:$V$321,13,FALSE)</f>
        <v>78939</v>
      </c>
      <c r="U239" s="246">
        <f>+O239+VLOOKUP(A239,'Change in Proportion Layers'!$A$8:$V$321,7,FALSE)</f>
        <v>-66434</v>
      </c>
      <c r="W239" s="246">
        <f>('OPEB Amounts_Report'!G239-'OPEB Amounts_Report'!M239)</f>
        <v>-841052</v>
      </c>
      <c r="X239" s="282">
        <f>SUM(Q239:U239)-('OPEB Amounts_Report'!G239-'OPEB Amounts_Report'!M239)</f>
        <v>0</v>
      </c>
    </row>
    <row r="240" spans="1:24" s="8" customFormat="1">
      <c r="A240" s="235">
        <v>14366</v>
      </c>
      <c r="B240" s="236" t="s">
        <v>227</v>
      </c>
      <c r="C240" s="245">
        <f t="shared" si="20"/>
        <v>-243638</v>
      </c>
      <c r="D240" s="245">
        <f t="shared" si="21"/>
        <v>-145391</v>
      </c>
      <c r="E240" s="245">
        <f t="shared" si="22"/>
        <v>-72984</v>
      </c>
      <c r="F240" s="245">
        <f t="shared" si="23"/>
        <v>2210</v>
      </c>
      <c r="G240" s="245">
        <f t="shared" si="24"/>
        <v>-76595</v>
      </c>
      <c r="I240" s="51"/>
      <c r="K240" s="156">
        <f>ROUND(VLOOKUP($A240,'Contribution Allocation_Report'!$A$9:$D$310,4,FALSE)*$K$323,0)</f>
        <v>-264381</v>
      </c>
      <c r="L240" s="156">
        <f>ROUND(VLOOKUP($A240,'Contribution Allocation_Report'!$A$9:$D$310,4,FALSE)*$L$323,0)</f>
        <v>-166377</v>
      </c>
      <c r="M240" s="156">
        <f>ROUND(VLOOKUP($A240,'Contribution Allocation_Report'!$A$9:$D$310,4,FALSE)*$M$323,0)</f>
        <v>-94532</v>
      </c>
      <c r="N240" s="156">
        <f>ROUND(VLOOKUP($A240,'Contribution Allocation_Report'!$A$9:$D$310,4,FALSE)*$N$323,0)</f>
        <v>-18798</v>
      </c>
      <c r="O240" s="246">
        <f>ROUND(VLOOKUP($A240,'Contribution Allocation_Report'!$A$9:$D$310,4,FALSE)*$O$323,0)</f>
        <v>-77310</v>
      </c>
      <c r="Q240" s="246">
        <f>+K240+VLOOKUP(A240,'Change in Proportion Layers'!$A$8:$I$321,3,FALSE)+VLOOKUP(A240,'Change in Proportion Layers'!$A$8:$V$321,10,FALSE)+VLOOKUP(A240,'Change in Proportion Layers'!$A$8:$V$321,16,FALSE)+VLOOKUP(A240,'Change in Proportion Layers'!$A$8:$V$321,21,FALSE)</f>
        <v>-243638</v>
      </c>
      <c r="R240" s="246">
        <f>+L240+VLOOKUP(A240,'Change in Proportion Layers'!$A$8:$V$321,4,FALSE)+VLOOKUP(A240,'Change in Proportion Layers'!$A$8:$V$321,11,FALSE)+VLOOKUP(A240,'Change in Proportion Layers'!$A$8:$V$321,17,FALSE)+VLOOKUP(A240,'Change in Proportion Layers'!$A$8:$V$321,22,FALSE)</f>
        <v>-145391</v>
      </c>
      <c r="S240" s="246">
        <f>+M240+VLOOKUP(A240,'Change in Proportion Layers'!$A$8:$V$321,5,FALSE)+VLOOKUP(A240,'Change in Proportion Layers'!$A$8:$V$321,12,FALSE)+VLOOKUP(A240,'Change in Proportion Layers'!$A$8:$V$321,18,FALSE)</f>
        <v>-72984</v>
      </c>
      <c r="T240" s="246">
        <f>+N240+VLOOKUP(A240,'Change in Proportion Layers'!$A$8:$V$321,6,FALSE)+VLOOKUP(A240,'Change in Proportion Layers'!$A$8:$V$321,13,FALSE)</f>
        <v>2210</v>
      </c>
      <c r="U240" s="246">
        <f>+O240+VLOOKUP(A240,'Change in Proportion Layers'!$A$8:$V$321,7,FALSE)+1</f>
        <v>-76595</v>
      </c>
      <c r="W240" s="246">
        <f>('OPEB Amounts_Report'!G240-'OPEB Amounts_Report'!M240)</f>
        <v>-536398</v>
      </c>
      <c r="X240" s="282">
        <f>SUM(Q240:U240)-('OPEB Amounts_Report'!G240-'OPEB Amounts_Report'!M240)</f>
        <v>0</v>
      </c>
    </row>
    <row r="241" spans="1:24" s="8" customFormat="1">
      <c r="A241" s="237">
        <v>4317</v>
      </c>
      <c r="B241" s="238" t="s">
        <v>228</v>
      </c>
      <c r="C241" s="48">
        <f t="shared" si="20"/>
        <v>-4098</v>
      </c>
      <c r="D241" s="48">
        <f t="shared" si="21"/>
        <v>35926</v>
      </c>
      <c r="E241" s="48">
        <f t="shared" si="22"/>
        <v>70775</v>
      </c>
      <c r="F241" s="48">
        <f t="shared" si="23"/>
        <v>99365</v>
      </c>
      <c r="G241" s="48">
        <f t="shared" si="24"/>
        <v>73891</v>
      </c>
      <c r="I241" s="51"/>
      <c r="K241" s="156">
        <f>ROUND(VLOOKUP($A241,'Contribution Allocation_Report'!$A$9:$D$310,4,FALSE)*$K$323,0)</f>
        <v>-99893</v>
      </c>
      <c r="L241" s="156">
        <f>ROUND(VLOOKUP($A241,'Contribution Allocation_Report'!$A$9:$D$310,4,FALSE)*$L$323,0)</f>
        <v>-62863</v>
      </c>
      <c r="M241" s="156">
        <f>ROUND(VLOOKUP($A241,'Contribution Allocation_Report'!$A$9:$D$310,4,FALSE)*$M$323,0)</f>
        <v>-35718</v>
      </c>
      <c r="N241" s="156">
        <f>ROUND(VLOOKUP($A241,'Contribution Allocation_Report'!$A$9:$D$310,4,FALSE)*$N$323,0)</f>
        <v>-7102</v>
      </c>
      <c r="O241" s="246">
        <f>ROUND(VLOOKUP($A241,'Contribution Allocation_Report'!$A$9:$D$310,4,FALSE)*$O$323,0)</f>
        <v>-29211</v>
      </c>
      <c r="Q241" s="246">
        <f>+K241+VLOOKUP(A241,'Change in Proportion Layers'!$A$8:$I$321,3,FALSE)+VLOOKUP(A241,'Change in Proportion Layers'!$A$8:$V$321,10,FALSE)+VLOOKUP(A241,'Change in Proportion Layers'!$A$8:$V$321,16,FALSE)+VLOOKUP(A241,'Change in Proportion Layers'!$A$8:$V$321,21,FALSE)</f>
        <v>-4098</v>
      </c>
      <c r="R241" s="246">
        <f>+L241+VLOOKUP(A241,'Change in Proportion Layers'!$A$8:$V$321,4,FALSE)+VLOOKUP(A241,'Change in Proportion Layers'!$A$8:$V$321,11,FALSE)+VLOOKUP(A241,'Change in Proportion Layers'!$A$8:$V$321,17,FALSE)+VLOOKUP(A241,'Change in Proportion Layers'!$A$8:$V$321,22,FALSE)</f>
        <v>35926</v>
      </c>
      <c r="S241" s="246">
        <f>+M241+VLOOKUP(A241,'Change in Proportion Layers'!$A$8:$V$321,5,FALSE)+VLOOKUP(A241,'Change in Proportion Layers'!$A$8:$V$321,12,FALSE)+VLOOKUP(A241,'Change in Proportion Layers'!$A$8:$V$321,18,FALSE)</f>
        <v>70775</v>
      </c>
      <c r="T241" s="246">
        <f>+N241+VLOOKUP(A241,'Change in Proportion Layers'!$A$8:$V$321,6,FALSE)+VLOOKUP(A241,'Change in Proportion Layers'!$A$8:$V$321,13,FALSE)</f>
        <v>99365</v>
      </c>
      <c r="U241" s="246">
        <f>+O241+VLOOKUP(A241,'Change in Proportion Layers'!$A$8:$V$321,7,FALSE)-1</f>
        <v>73891</v>
      </c>
      <c r="W241" s="246">
        <f>('OPEB Amounts_Report'!G241-'OPEB Amounts_Report'!M241)</f>
        <v>275859</v>
      </c>
      <c r="X241" s="282">
        <f>SUM(Q241:U241)-('OPEB Amounts_Report'!G241-'OPEB Amounts_Report'!M241)</f>
        <v>0</v>
      </c>
    </row>
    <row r="242" spans="1:24" s="8" customFormat="1">
      <c r="A242" s="235">
        <v>32120</v>
      </c>
      <c r="B242" s="236" t="s">
        <v>229</v>
      </c>
      <c r="C242" s="245">
        <f t="shared" si="20"/>
        <v>27442</v>
      </c>
      <c r="D242" s="245">
        <f t="shared" si="21"/>
        <v>65352</v>
      </c>
      <c r="E242" s="245">
        <f t="shared" si="22"/>
        <v>62553</v>
      </c>
      <c r="F242" s="245">
        <f t="shared" si="23"/>
        <v>58339</v>
      </c>
      <c r="G242" s="245">
        <f t="shared" si="24"/>
        <v>-12966</v>
      </c>
      <c r="I242" s="51"/>
      <c r="K242" s="156">
        <f>ROUND(VLOOKUP($A242,'Contribution Allocation_Report'!$A$9:$D$310,4,FALSE)*$K$323,0)</f>
        <v>-116815</v>
      </c>
      <c r="L242" s="156">
        <f>ROUND(VLOOKUP($A242,'Contribution Allocation_Report'!$A$9:$D$310,4,FALSE)*$L$323,0)</f>
        <v>-73512</v>
      </c>
      <c r="M242" s="156">
        <f>ROUND(VLOOKUP($A242,'Contribution Allocation_Report'!$A$9:$D$310,4,FALSE)*$M$323,0)</f>
        <v>-41768</v>
      </c>
      <c r="N242" s="156">
        <f>ROUND(VLOOKUP($A242,'Contribution Allocation_Report'!$A$9:$D$310,4,FALSE)*$N$323,0)</f>
        <v>-8306</v>
      </c>
      <c r="O242" s="246">
        <f>ROUND(VLOOKUP($A242,'Contribution Allocation_Report'!$A$9:$D$310,4,FALSE)*$O$323,0)</f>
        <v>-34159</v>
      </c>
      <c r="Q242" s="246">
        <f>+K242+VLOOKUP(A242,'Change in Proportion Layers'!$A$8:$I$321,3,FALSE)+VLOOKUP(A242,'Change in Proportion Layers'!$A$8:$V$321,10,FALSE)+VLOOKUP(A242,'Change in Proportion Layers'!$A$8:$V$321,16,FALSE)+VLOOKUP(A242,'Change in Proportion Layers'!$A$8:$V$321,21,FALSE)</f>
        <v>27442</v>
      </c>
      <c r="R242" s="246">
        <f>+L242+VLOOKUP(A242,'Change in Proportion Layers'!$A$8:$V$321,4,FALSE)+VLOOKUP(A242,'Change in Proportion Layers'!$A$8:$V$321,11,FALSE)+VLOOKUP(A242,'Change in Proportion Layers'!$A$8:$V$321,17,FALSE)+VLOOKUP(A242,'Change in Proportion Layers'!$A$8:$V$321,22,FALSE)</f>
        <v>65352</v>
      </c>
      <c r="S242" s="246">
        <f>+M242+VLOOKUP(A242,'Change in Proportion Layers'!$A$8:$V$321,5,FALSE)+VLOOKUP(A242,'Change in Proportion Layers'!$A$8:$V$321,12,FALSE)+VLOOKUP(A242,'Change in Proportion Layers'!$A$8:$V$321,18,FALSE)</f>
        <v>62553</v>
      </c>
      <c r="T242" s="246">
        <f>+N242+VLOOKUP(A242,'Change in Proportion Layers'!$A$8:$V$321,6,FALSE)+VLOOKUP(A242,'Change in Proportion Layers'!$A$8:$V$321,13,FALSE)</f>
        <v>58339</v>
      </c>
      <c r="U242" s="246">
        <f>+O242+VLOOKUP(A242,'Change in Proportion Layers'!$A$8:$V$321,7,FALSE)</f>
        <v>-12966</v>
      </c>
      <c r="W242" s="246">
        <f>('OPEB Amounts_Report'!G242-'OPEB Amounts_Report'!M242)</f>
        <v>200720</v>
      </c>
      <c r="X242" s="282">
        <f>SUM(Q242:U242)-('OPEB Amounts_Report'!G242-'OPEB Amounts_Report'!M242)</f>
        <v>0</v>
      </c>
    </row>
    <row r="243" spans="1:24" s="8" customFormat="1">
      <c r="A243" s="237">
        <v>3300</v>
      </c>
      <c r="B243" s="238" t="s">
        <v>230</v>
      </c>
      <c r="C243" s="48">
        <f t="shared" si="20"/>
        <v>288535</v>
      </c>
      <c r="D243" s="48">
        <f t="shared" si="21"/>
        <v>223132</v>
      </c>
      <c r="E243" s="48">
        <f t="shared" si="22"/>
        <v>-144082</v>
      </c>
      <c r="F243" s="48">
        <f t="shared" si="23"/>
        <v>-74339</v>
      </c>
      <c r="G243" s="48">
        <f t="shared" si="24"/>
        <v>-114824</v>
      </c>
      <c r="I243" s="51"/>
      <c r="K243" s="156">
        <f>ROUND(VLOOKUP($A243,'Contribution Allocation_Report'!$A$9:$D$310,4,FALSE)*$K$323,0)</f>
        <v>-282475</v>
      </c>
      <c r="L243" s="156">
        <f>ROUND(VLOOKUP($A243,'Contribution Allocation_Report'!$A$9:$D$310,4,FALSE)*$L$323,0)</f>
        <v>-177763</v>
      </c>
      <c r="M243" s="156">
        <f>ROUND(VLOOKUP($A243,'Contribution Allocation_Report'!$A$9:$D$310,4,FALSE)*$M$323,0)</f>
        <v>-101002</v>
      </c>
      <c r="N243" s="156">
        <f>ROUND(VLOOKUP($A243,'Contribution Allocation_Report'!$A$9:$D$310,4,FALSE)*$N$323,0)</f>
        <v>-20084</v>
      </c>
      <c r="O243" s="246">
        <f>ROUND(VLOOKUP($A243,'Contribution Allocation_Report'!$A$9:$D$310,4,FALSE)*$O$323,0)</f>
        <v>-82601</v>
      </c>
      <c r="Q243" s="246">
        <f>+K243+VLOOKUP(A243,'Change in Proportion Layers'!$A$8:$I$321,3,FALSE)+VLOOKUP(A243,'Change in Proportion Layers'!$A$8:$V$321,10,FALSE)+VLOOKUP(A243,'Change in Proportion Layers'!$A$8:$V$321,16,FALSE)+VLOOKUP(A243,'Change in Proportion Layers'!$A$8:$V$321,21,FALSE)</f>
        <v>288535</v>
      </c>
      <c r="R243" s="246">
        <f>+L243+VLOOKUP(A243,'Change in Proportion Layers'!$A$8:$V$321,4,FALSE)+VLOOKUP(A243,'Change in Proportion Layers'!$A$8:$V$321,11,FALSE)+VLOOKUP(A243,'Change in Proportion Layers'!$A$8:$V$321,17,FALSE)+VLOOKUP(A243,'Change in Proportion Layers'!$A$8:$V$321,22,FALSE)</f>
        <v>223132</v>
      </c>
      <c r="S243" s="246">
        <f>+M243+VLOOKUP(A243,'Change in Proportion Layers'!$A$8:$V$321,5,FALSE)+VLOOKUP(A243,'Change in Proportion Layers'!$A$8:$V$321,12,FALSE)+VLOOKUP(A243,'Change in Proportion Layers'!$A$8:$V$321,18,FALSE)</f>
        <v>-144082</v>
      </c>
      <c r="T243" s="246">
        <f>+N243+VLOOKUP(A243,'Change in Proportion Layers'!$A$8:$V$321,6,FALSE)+VLOOKUP(A243,'Change in Proportion Layers'!$A$8:$V$321,13,FALSE)</f>
        <v>-74339</v>
      </c>
      <c r="U243" s="246">
        <f>+O243+VLOOKUP(A243,'Change in Proportion Layers'!$A$8:$V$321,7,FALSE)</f>
        <v>-114824</v>
      </c>
      <c r="W243" s="246">
        <f>('OPEB Amounts_Report'!G243-'OPEB Amounts_Report'!M243)</f>
        <v>178422</v>
      </c>
      <c r="X243" s="282">
        <f>SUM(Q243:U243)-('OPEB Amounts_Report'!G243-'OPEB Amounts_Report'!M243)</f>
        <v>0</v>
      </c>
    </row>
    <row r="244" spans="1:24" s="8" customFormat="1">
      <c r="A244" s="235">
        <v>8026</v>
      </c>
      <c r="B244" s="236" t="s">
        <v>231</v>
      </c>
      <c r="C244" s="245">
        <f t="shared" si="20"/>
        <v>-1902140</v>
      </c>
      <c r="D244" s="245">
        <f t="shared" si="21"/>
        <v>-1299344</v>
      </c>
      <c r="E244" s="245">
        <f t="shared" si="22"/>
        <v>-827127</v>
      </c>
      <c r="F244" s="245">
        <f t="shared" si="23"/>
        <v>-357313</v>
      </c>
      <c r="G244" s="245">
        <f t="shared" si="24"/>
        <v>-586402</v>
      </c>
      <c r="I244" s="51"/>
      <c r="K244" s="156">
        <f>ROUND(VLOOKUP($A244,'Contribution Allocation_Report'!$A$9:$D$310,4,FALSE)*$K$323,0)</f>
        <v>-1591161</v>
      </c>
      <c r="L244" s="156">
        <f>ROUND(VLOOKUP($A244,'Contribution Allocation_Report'!$A$9:$D$310,4,FALSE)*$L$323,0)</f>
        <v>-1001327</v>
      </c>
      <c r="M244" s="156">
        <f>ROUND(VLOOKUP($A244,'Contribution Allocation_Report'!$A$9:$D$310,4,FALSE)*$M$323,0)</f>
        <v>-568936</v>
      </c>
      <c r="N244" s="156">
        <f>ROUND(VLOOKUP($A244,'Contribution Allocation_Report'!$A$9:$D$310,4,FALSE)*$N$323,0)</f>
        <v>-113132</v>
      </c>
      <c r="O244" s="246">
        <f>ROUND(VLOOKUP($A244,'Contribution Allocation_Report'!$A$9:$D$310,4,FALSE)*$O$323,0)</f>
        <v>-465284</v>
      </c>
      <c r="Q244" s="246">
        <f>+K244+VLOOKUP(A244,'Change in Proportion Layers'!$A$8:$I$321,3,FALSE)+VLOOKUP(A244,'Change in Proportion Layers'!$A$8:$V$321,10,FALSE)+VLOOKUP(A244,'Change in Proportion Layers'!$A$8:$V$321,16,FALSE)+VLOOKUP(A244,'Change in Proportion Layers'!$A$8:$V$321,21,FALSE)</f>
        <v>-1902140</v>
      </c>
      <c r="R244" s="246">
        <f>+L244+VLOOKUP(A244,'Change in Proportion Layers'!$A$8:$V$321,4,FALSE)+VLOOKUP(A244,'Change in Proportion Layers'!$A$8:$V$321,11,FALSE)+VLOOKUP(A244,'Change in Proportion Layers'!$A$8:$V$321,17,FALSE)+VLOOKUP(A244,'Change in Proportion Layers'!$A$8:$V$321,22,FALSE)</f>
        <v>-1299344</v>
      </c>
      <c r="S244" s="246">
        <f>+M244+VLOOKUP(A244,'Change in Proportion Layers'!$A$8:$V$321,5,FALSE)+VLOOKUP(A244,'Change in Proportion Layers'!$A$8:$V$321,12,FALSE)+VLOOKUP(A244,'Change in Proportion Layers'!$A$8:$V$321,18,FALSE)</f>
        <v>-827127</v>
      </c>
      <c r="T244" s="246">
        <f>+N244+VLOOKUP(A244,'Change in Proportion Layers'!$A$8:$V$321,6,FALSE)+VLOOKUP(A244,'Change in Proportion Layers'!$A$8:$V$321,13,FALSE)</f>
        <v>-357313</v>
      </c>
      <c r="U244" s="246">
        <f>+O244+VLOOKUP(A244,'Change in Proportion Layers'!$A$8:$V$321,7,FALSE)</f>
        <v>-586402</v>
      </c>
      <c r="W244" s="246">
        <f>('OPEB Amounts_Report'!G244-'OPEB Amounts_Report'!M244)</f>
        <v>-4972326</v>
      </c>
      <c r="X244" s="282">
        <f>SUM(Q244:U244)-('OPEB Amounts_Report'!G244-'OPEB Amounts_Report'!M244)</f>
        <v>0</v>
      </c>
    </row>
    <row r="245" spans="1:24" s="8" customFormat="1">
      <c r="A245" s="237">
        <v>32119</v>
      </c>
      <c r="B245" s="238" t="s">
        <v>232</v>
      </c>
      <c r="C245" s="48">
        <f t="shared" si="20"/>
        <v>3420</v>
      </c>
      <c r="D245" s="48">
        <f t="shared" si="21"/>
        <v>16103</v>
      </c>
      <c r="E245" s="48">
        <f t="shared" si="22"/>
        <v>-2682</v>
      </c>
      <c r="F245" s="48">
        <f t="shared" si="23"/>
        <v>-12947</v>
      </c>
      <c r="G245" s="48">
        <f t="shared" si="24"/>
        <v>-6716</v>
      </c>
      <c r="I245" s="51"/>
      <c r="K245" s="156">
        <f>ROUND(VLOOKUP($A245,'Contribution Allocation_Report'!$A$9:$D$310,4,FALSE)*$K$323,0)</f>
        <v>-53907</v>
      </c>
      <c r="L245" s="156">
        <f>ROUND(VLOOKUP($A245,'Contribution Allocation_Report'!$A$9:$D$310,4,FALSE)*$L$323,0)</f>
        <v>-33924</v>
      </c>
      <c r="M245" s="156">
        <f>ROUND(VLOOKUP($A245,'Contribution Allocation_Report'!$A$9:$D$310,4,FALSE)*$M$323,0)</f>
        <v>-19275</v>
      </c>
      <c r="N245" s="156">
        <f>ROUND(VLOOKUP($A245,'Contribution Allocation_Report'!$A$9:$D$310,4,FALSE)*$N$323,0)</f>
        <v>-3833</v>
      </c>
      <c r="O245" s="246">
        <f>ROUND(VLOOKUP($A245,'Contribution Allocation_Report'!$A$9:$D$310,4,FALSE)*$O$323,0)</f>
        <v>-15764</v>
      </c>
      <c r="Q245" s="246">
        <f>+K245+VLOOKUP(A245,'Change in Proportion Layers'!$A$8:$I$321,3,FALSE)+VLOOKUP(A245,'Change in Proportion Layers'!$A$8:$V$321,10,FALSE)+VLOOKUP(A245,'Change in Proportion Layers'!$A$8:$V$321,16,FALSE)+VLOOKUP(A245,'Change in Proportion Layers'!$A$8:$V$321,21,FALSE)</f>
        <v>3420</v>
      </c>
      <c r="R245" s="246">
        <f>+L245+VLOOKUP(A245,'Change in Proportion Layers'!$A$8:$V$321,4,FALSE)+VLOOKUP(A245,'Change in Proportion Layers'!$A$8:$V$321,11,FALSE)+VLOOKUP(A245,'Change in Proportion Layers'!$A$8:$V$321,17,FALSE)+VLOOKUP(A245,'Change in Proportion Layers'!$A$8:$V$321,22,FALSE)</f>
        <v>16103</v>
      </c>
      <c r="S245" s="246">
        <f>+M245+VLOOKUP(A245,'Change in Proportion Layers'!$A$8:$V$321,5,FALSE)+VLOOKUP(A245,'Change in Proportion Layers'!$A$8:$V$321,12,FALSE)+VLOOKUP(A245,'Change in Proportion Layers'!$A$8:$V$321,18,FALSE)</f>
        <v>-2682</v>
      </c>
      <c r="T245" s="246">
        <f>+N245+VLOOKUP(A245,'Change in Proportion Layers'!$A$8:$V$321,6,FALSE)+VLOOKUP(A245,'Change in Proportion Layers'!$A$8:$V$321,13,FALSE)</f>
        <v>-12947</v>
      </c>
      <c r="U245" s="246">
        <f>+O245+VLOOKUP(A245,'Change in Proportion Layers'!$A$8:$V$321,7,FALSE)+1</f>
        <v>-6716</v>
      </c>
      <c r="W245" s="246">
        <f>('OPEB Amounts_Report'!G245-'OPEB Amounts_Report'!M245)</f>
        <v>-2822</v>
      </c>
      <c r="X245" s="282">
        <f>SUM(Q245:U245)-('OPEB Amounts_Report'!G245-'OPEB Amounts_Report'!M245)</f>
        <v>0</v>
      </c>
    </row>
    <row r="246" spans="1:24" s="8" customFormat="1">
      <c r="A246" s="235">
        <v>25076</v>
      </c>
      <c r="B246" s="236" t="s">
        <v>233</v>
      </c>
      <c r="C246" s="245">
        <f t="shared" si="20"/>
        <v>-1000825</v>
      </c>
      <c r="D246" s="245">
        <f t="shared" si="21"/>
        <v>-626336</v>
      </c>
      <c r="E246" s="245">
        <f t="shared" si="22"/>
        <v>-350514</v>
      </c>
      <c r="F246" s="245">
        <f t="shared" si="23"/>
        <v>-132456</v>
      </c>
      <c r="G246" s="245">
        <f t="shared" si="24"/>
        <v>-355296</v>
      </c>
      <c r="I246" s="51"/>
      <c r="K246" s="156">
        <f>ROUND(VLOOKUP($A246,'Contribution Allocation_Report'!$A$9:$D$310,4,FALSE)*$K$323,0)</f>
        <v>-961241</v>
      </c>
      <c r="L246" s="156">
        <f>ROUND(VLOOKUP($A246,'Contribution Allocation_Report'!$A$9:$D$310,4,FALSE)*$L$323,0)</f>
        <v>-604915</v>
      </c>
      <c r="M246" s="156">
        <f>ROUND(VLOOKUP($A246,'Contribution Allocation_Report'!$A$9:$D$310,4,FALSE)*$M$323,0)</f>
        <v>-343701</v>
      </c>
      <c r="N246" s="156">
        <f>ROUND(VLOOKUP($A246,'Contribution Allocation_Report'!$A$9:$D$310,4,FALSE)*$N$323,0)</f>
        <v>-68344</v>
      </c>
      <c r="O246" s="246">
        <f>ROUND(VLOOKUP($A246,'Contribution Allocation_Report'!$A$9:$D$310,4,FALSE)*$O$323,0)</f>
        <v>-281084</v>
      </c>
      <c r="Q246" s="246">
        <f>+K246+VLOOKUP(A246,'Change in Proportion Layers'!$A$8:$I$321,3,FALSE)+VLOOKUP(A246,'Change in Proportion Layers'!$A$8:$V$321,10,FALSE)+VLOOKUP(A246,'Change in Proportion Layers'!$A$8:$V$321,16,FALSE)+VLOOKUP(A246,'Change in Proportion Layers'!$A$8:$V$321,21,FALSE)</f>
        <v>-1000825</v>
      </c>
      <c r="R246" s="246">
        <f>+L246+VLOOKUP(A246,'Change in Proportion Layers'!$A$8:$V$321,4,FALSE)+VLOOKUP(A246,'Change in Proportion Layers'!$A$8:$V$321,11,FALSE)+VLOOKUP(A246,'Change in Proportion Layers'!$A$8:$V$321,17,FALSE)+VLOOKUP(A246,'Change in Proportion Layers'!$A$8:$V$321,22,FALSE)</f>
        <v>-626336</v>
      </c>
      <c r="S246" s="246">
        <f>+M246+VLOOKUP(A246,'Change in Proportion Layers'!$A$8:$V$321,5,FALSE)+VLOOKUP(A246,'Change in Proportion Layers'!$A$8:$V$321,12,FALSE)+VLOOKUP(A246,'Change in Proportion Layers'!$A$8:$V$321,18,FALSE)</f>
        <v>-350514</v>
      </c>
      <c r="T246" s="246">
        <f>+N246+VLOOKUP(A246,'Change in Proportion Layers'!$A$8:$V$321,6,FALSE)+VLOOKUP(A246,'Change in Proportion Layers'!$A$8:$V$321,13,FALSE)</f>
        <v>-132456</v>
      </c>
      <c r="U246" s="246">
        <f>+O246+VLOOKUP(A246,'Change in Proportion Layers'!$A$8:$V$321,7,FALSE)-1</f>
        <v>-355296</v>
      </c>
      <c r="W246" s="246">
        <f>('OPEB Amounts_Report'!G246-'OPEB Amounts_Report'!M246)</f>
        <v>-2465427</v>
      </c>
      <c r="X246" s="282">
        <f>SUM(Q246:U246)-('OPEB Amounts_Report'!G246-'OPEB Amounts_Report'!M246)</f>
        <v>0</v>
      </c>
    </row>
    <row r="247" spans="1:24" s="8" customFormat="1">
      <c r="A247" s="237">
        <v>2440</v>
      </c>
      <c r="B247" s="238" t="s">
        <v>414</v>
      </c>
      <c r="C247" s="48">
        <f t="shared" si="20"/>
        <v>75409</v>
      </c>
      <c r="D247" s="48">
        <f t="shared" si="21"/>
        <v>110232</v>
      </c>
      <c r="E247" s="48">
        <f t="shared" si="22"/>
        <v>133805</v>
      </c>
      <c r="F247" s="48">
        <f t="shared" si="23"/>
        <v>155073</v>
      </c>
      <c r="G247" s="48">
        <f t="shared" si="24"/>
        <v>27136</v>
      </c>
      <c r="I247" s="51"/>
      <c r="K247" s="156">
        <f>ROUND(VLOOKUP($A247,'Contribution Allocation_Report'!$A$9:$D$310,4,FALSE)*$K$323,0)</f>
        <v>-93940</v>
      </c>
      <c r="L247" s="156">
        <f>ROUND(VLOOKUP($A247,'Contribution Allocation_Report'!$A$9:$D$310,4,FALSE)*$L$323,0)</f>
        <v>-59117</v>
      </c>
      <c r="M247" s="156">
        <f>ROUND(VLOOKUP($A247,'Contribution Allocation_Report'!$A$9:$D$310,4,FALSE)*$M$323,0)</f>
        <v>-33589</v>
      </c>
      <c r="N247" s="156">
        <f>ROUND(VLOOKUP($A247,'Contribution Allocation_Report'!$A$9:$D$310,4,FALSE)*$N$323,0)</f>
        <v>-6679</v>
      </c>
      <c r="O247" s="246">
        <f>ROUND(VLOOKUP($A247,'Contribution Allocation_Report'!$A$9:$D$310,4,FALSE)*$O$323,0)</f>
        <v>-27470</v>
      </c>
      <c r="Q247" s="246">
        <f>+K247+VLOOKUP(A247,'Change in Proportion Layers'!$A$8:$I$321,3,FALSE)+VLOOKUP(A247,'Change in Proportion Layers'!$A$8:$V$321,10,FALSE)+VLOOKUP(A247,'Change in Proportion Layers'!$A$8:$V$321,16,FALSE)+VLOOKUP(A247,'Change in Proportion Layers'!$A$8:$V$321,21,FALSE)</f>
        <v>75409</v>
      </c>
      <c r="R247" s="246">
        <f>+L247+VLOOKUP(A247,'Change in Proportion Layers'!$A$8:$V$321,4,FALSE)+VLOOKUP(A247,'Change in Proportion Layers'!$A$8:$V$321,11,FALSE)+VLOOKUP(A247,'Change in Proportion Layers'!$A$8:$V$321,17,FALSE)+VLOOKUP(A247,'Change in Proportion Layers'!$A$8:$V$321,22,FALSE)</f>
        <v>110232</v>
      </c>
      <c r="S247" s="246">
        <f>+M247+VLOOKUP(A247,'Change in Proportion Layers'!$A$8:$V$321,5,FALSE)+VLOOKUP(A247,'Change in Proportion Layers'!$A$8:$V$321,12,FALSE)+VLOOKUP(A247,'Change in Proportion Layers'!$A$8:$V$321,18,FALSE)</f>
        <v>133805</v>
      </c>
      <c r="T247" s="246">
        <f>+N247+VLOOKUP(A247,'Change in Proportion Layers'!$A$8:$V$321,6,FALSE)+VLOOKUP(A247,'Change in Proportion Layers'!$A$8:$V$321,13,FALSE)</f>
        <v>155073</v>
      </c>
      <c r="U247" s="246">
        <f>+O247+VLOOKUP(A247,'Change in Proportion Layers'!$A$8:$V$321,7,FALSE)+1</f>
        <v>27136</v>
      </c>
      <c r="W247" s="246">
        <f>('OPEB Amounts_Report'!G247-'OPEB Amounts_Report'!M247)</f>
        <v>501655</v>
      </c>
      <c r="X247" s="282">
        <f>SUM(Q247:U247)-('OPEB Amounts_Report'!G247-'OPEB Amounts_Report'!M247)</f>
        <v>0</v>
      </c>
    </row>
    <row r="248" spans="1:24" s="8" customFormat="1">
      <c r="A248" s="235">
        <v>2309</v>
      </c>
      <c r="B248" s="236" t="s">
        <v>234</v>
      </c>
      <c r="C248" s="245">
        <f t="shared" si="20"/>
        <v>-295068</v>
      </c>
      <c r="D248" s="245">
        <f t="shared" si="21"/>
        <v>-157956</v>
      </c>
      <c r="E248" s="245">
        <f t="shared" si="22"/>
        <v>-80664</v>
      </c>
      <c r="F248" s="245">
        <f t="shared" si="23"/>
        <v>42923</v>
      </c>
      <c r="G248" s="245">
        <f t="shared" si="24"/>
        <v>-84323</v>
      </c>
      <c r="I248" s="51"/>
      <c r="K248" s="156">
        <f>ROUND(VLOOKUP($A248,'Contribution Allocation_Report'!$A$9:$D$310,4,FALSE)*$K$323,0)</f>
        <v>-409697</v>
      </c>
      <c r="L248" s="156">
        <f>ROUND(VLOOKUP($A248,'Contribution Allocation_Report'!$A$9:$D$310,4,FALSE)*$L$323,0)</f>
        <v>-257825</v>
      </c>
      <c r="M248" s="156">
        <f>ROUND(VLOOKUP($A248,'Contribution Allocation_Report'!$A$9:$D$310,4,FALSE)*$M$323,0)</f>
        <v>-146491</v>
      </c>
      <c r="N248" s="156">
        <f>ROUND(VLOOKUP($A248,'Contribution Allocation_Report'!$A$9:$D$310,4,FALSE)*$N$323,0)</f>
        <v>-29129</v>
      </c>
      <c r="O248" s="246">
        <f>ROUND(VLOOKUP($A248,'Contribution Allocation_Report'!$A$9:$D$310,4,FALSE)*$O$323,0)</f>
        <v>-119803</v>
      </c>
      <c r="Q248" s="246">
        <f>+K248+VLOOKUP(A248,'Change in Proportion Layers'!$A$8:$I$321,3,FALSE)+VLOOKUP(A248,'Change in Proportion Layers'!$A$8:$V$321,10,FALSE)+VLOOKUP(A248,'Change in Proportion Layers'!$A$8:$V$321,16,FALSE)+VLOOKUP(A248,'Change in Proportion Layers'!$A$8:$V$321,21,FALSE)</f>
        <v>-295068</v>
      </c>
      <c r="R248" s="246">
        <f>+L248+VLOOKUP(A248,'Change in Proportion Layers'!$A$8:$V$321,4,FALSE)+VLOOKUP(A248,'Change in Proportion Layers'!$A$8:$V$321,11,FALSE)+VLOOKUP(A248,'Change in Proportion Layers'!$A$8:$V$321,17,FALSE)+VLOOKUP(A248,'Change in Proportion Layers'!$A$8:$V$321,22,FALSE)</f>
        <v>-157956</v>
      </c>
      <c r="S248" s="246">
        <f>+M248+VLOOKUP(A248,'Change in Proportion Layers'!$A$8:$V$321,5,FALSE)+VLOOKUP(A248,'Change in Proportion Layers'!$A$8:$V$321,12,FALSE)+VLOOKUP(A248,'Change in Proportion Layers'!$A$8:$V$321,18,FALSE)</f>
        <v>-80664</v>
      </c>
      <c r="T248" s="246">
        <f>+N248+VLOOKUP(A248,'Change in Proportion Layers'!$A$8:$V$321,6,FALSE)+VLOOKUP(A248,'Change in Proportion Layers'!$A$8:$V$321,13,FALSE)</f>
        <v>42923</v>
      </c>
      <c r="U248" s="246">
        <f>+O248+VLOOKUP(A248,'Change in Proportion Layers'!$A$8:$V$321,7,FALSE)</f>
        <v>-84323</v>
      </c>
      <c r="W248" s="246">
        <f>('OPEB Amounts_Report'!G248-'OPEB Amounts_Report'!M248)</f>
        <v>-575088</v>
      </c>
      <c r="X248" s="282">
        <f>SUM(Q248:U248)-('OPEB Amounts_Report'!G248-'OPEB Amounts_Report'!M248)</f>
        <v>0</v>
      </c>
    </row>
    <row r="249" spans="1:24" s="8" customFormat="1">
      <c r="A249" s="237">
        <v>2396</v>
      </c>
      <c r="B249" s="238" t="s">
        <v>235</v>
      </c>
      <c r="C249" s="48">
        <f t="shared" si="20"/>
        <v>-63163</v>
      </c>
      <c r="D249" s="48">
        <f t="shared" si="21"/>
        <v>-20356</v>
      </c>
      <c r="E249" s="48">
        <f t="shared" si="22"/>
        <v>8702</v>
      </c>
      <c r="F249" s="48">
        <f t="shared" si="23"/>
        <v>27216</v>
      </c>
      <c r="G249" s="48">
        <f t="shared" si="24"/>
        <v>-17767</v>
      </c>
      <c r="I249" s="51"/>
      <c r="K249" s="156">
        <f>ROUND(VLOOKUP($A249,'Contribution Allocation_Report'!$A$9:$D$310,4,FALSE)*$K$323,0)</f>
        <v>-108799</v>
      </c>
      <c r="L249" s="156">
        <f>ROUND(VLOOKUP($A249,'Contribution Allocation_Report'!$A$9:$D$310,4,FALSE)*$L$323,0)</f>
        <v>-68468</v>
      </c>
      <c r="M249" s="156">
        <f>ROUND(VLOOKUP($A249,'Contribution Allocation_Report'!$A$9:$D$310,4,FALSE)*$M$323,0)</f>
        <v>-38902</v>
      </c>
      <c r="N249" s="156">
        <f>ROUND(VLOOKUP($A249,'Contribution Allocation_Report'!$A$9:$D$310,4,FALSE)*$N$323,0)</f>
        <v>-7736</v>
      </c>
      <c r="O249" s="246">
        <f>ROUND(VLOOKUP($A249,'Contribution Allocation_Report'!$A$9:$D$310,4,FALSE)*$O$323,0)</f>
        <v>-31815</v>
      </c>
      <c r="Q249" s="246">
        <f>+K249+VLOOKUP(A249,'Change in Proportion Layers'!$A$8:$I$321,3,FALSE)+VLOOKUP(A249,'Change in Proportion Layers'!$A$8:$V$321,10,FALSE)+VLOOKUP(A249,'Change in Proportion Layers'!$A$8:$V$321,16,FALSE)+VLOOKUP(A249,'Change in Proportion Layers'!$A$8:$V$321,21,FALSE)</f>
        <v>-63163</v>
      </c>
      <c r="R249" s="246">
        <f>+L249+VLOOKUP(A249,'Change in Proportion Layers'!$A$8:$V$321,4,FALSE)+VLOOKUP(A249,'Change in Proportion Layers'!$A$8:$V$321,11,FALSE)+VLOOKUP(A249,'Change in Proportion Layers'!$A$8:$V$321,17,FALSE)+VLOOKUP(A249,'Change in Proportion Layers'!$A$8:$V$321,22,FALSE)</f>
        <v>-20356</v>
      </c>
      <c r="S249" s="246">
        <f>+M249+VLOOKUP(A249,'Change in Proportion Layers'!$A$8:$V$321,5,FALSE)+VLOOKUP(A249,'Change in Proportion Layers'!$A$8:$V$321,12,FALSE)+VLOOKUP(A249,'Change in Proportion Layers'!$A$8:$V$321,18,FALSE)</f>
        <v>8702</v>
      </c>
      <c r="T249" s="246">
        <f>+N249+VLOOKUP(A249,'Change in Proportion Layers'!$A$8:$V$321,6,FALSE)+VLOOKUP(A249,'Change in Proportion Layers'!$A$8:$V$321,13,FALSE)</f>
        <v>27216</v>
      </c>
      <c r="U249" s="246">
        <f>+O249+VLOOKUP(A249,'Change in Proportion Layers'!$A$8:$V$321,7,FALSE)-1</f>
        <v>-17767</v>
      </c>
      <c r="W249" s="246">
        <f>('OPEB Amounts_Report'!G249-'OPEB Amounts_Report'!M249)</f>
        <v>-65368</v>
      </c>
      <c r="X249" s="282">
        <f>SUM(Q249:U249)-('OPEB Amounts_Report'!G249-'OPEB Amounts_Report'!M249)</f>
        <v>0</v>
      </c>
    </row>
    <row r="250" spans="1:24" s="8" customFormat="1">
      <c r="A250" s="235">
        <v>3380</v>
      </c>
      <c r="B250" s="236" t="s">
        <v>236</v>
      </c>
      <c r="C250" s="245">
        <f t="shared" si="20"/>
        <v>-93048</v>
      </c>
      <c r="D250" s="245">
        <f t="shared" si="21"/>
        <v>-58469</v>
      </c>
      <c r="E250" s="245">
        <f t="shared" si="22"/>
        <v>-24523</v>
      </c>
      <c r="F250" s="245">
        <f t="shared" si="23"/>
        <v>9206</v>
      </c>
      <c r="G250" s="245">
        <f t="shared" si="24"/>
        <v>-16482</v>
      </c>
      <c r="I250" s="51"/>
      <c r="K250" s="156">
        <f>ROUND(VLOOKUP($A250,'Contribution Allocation_Report'!$A$9:$D$310,4,FALSE)*$K$323,0)</f>
        <v>-87846</v>
      </c>
      <c r="L250" s="156">
        <f>ROUND(VLOOKUP($A250,'Contribution Allocation_Report'!$A$9:$D$310,4,FALSE)*$L$323,0)</f>
        <v>-55282</v>
      </c>
      <c r="M250" s="156">
        <f>ROUND(VLOOKUP($A250,'Contribution Allocation_Report'!$A$9:$D$310,4,FALSE)*$M$323,0)</f>
        <v>-31410</v>
      </c>
      <c r="N250" s="156">
        <f>ROUND(VLOOKUP($A250,'Contribution Allocation_Report'!$A$9:$D$310,4,FALSE)*$N$323,0)</f>
        <v>-6246</v>
      </c>
      <c r="O250" s="246">
        <f>ROUND(VLOOKUP($A250,'Contribution Allocation_Report'!$A$9:$D$310,4,FALSE)*$O$323,0)</f>
        <v>-25688</v>
      </c>
      <c r="Q250" s="246">
        <f>+K250+VLOOKUP(A250,'Change in Proportion Layers'!$A$8:$I$321,3,FALSE)+VLOOKUP(A250,'Change in Proportion Layers'!$A$8:$V$321,10,FALSE)+VLOOKUP(A250,'Change in Proportion Layers'!$A$8:$V$321,16,FALSE)+VLOOKUP(A250,'Change in Proportion Layers'!$A$8:$V$321,21,FALSE)</f>
        <v>-93048</v>
      </c>
      <c r="R250" s="246">
        <f>+L250+VLOOKUP(A250,'Change in Proportion Layers'!$A$8:$V$321,4,FALSE)+VLOOKUP(A250,'Change in Proportion Layers'!$A$8:$V$321,11,FALSE)+VLOOKUP(A250,'Change in Proportion Layers'!$A$8:$V$321,17,FALSE)+VLOOKUP(A250,'Change in Proportion Layers'!$A$8:$V$321,22,FALSE)</f>
        <v>-58469</v>
      </c>
      <c r="S250" s="246">
        <f>+M250+VLOOKUP(A250,'Change in Proportion Layers'!$A$8:$V$321,5,FALSE)+VLOOKUP(A250,'Change in Proportion Layers'!$A$8:$V$321,12,FALSE)+VLOOKUP(A250,'Change in Proportion Layers'!$A$8:$V$321,18,FALSE)</f>
        <v>-24523</v>
      </c>
      <c r="T250" s="246">
        <f>+N250+VLOOKUP(A250,'Change in Proportion Layers'!$A$8:$V$321,6,FALSE)+VLOOKUP(A250,'Change in Proportion Layers'!$A$8:$V$321,13,FALSE)</f>
        <v>9206</v>
      </c>
      <c r="U250" s="246">
        <f>+O250+VLOOKUP(A250,'Change in Proportion Layers'!$A$8:$V$321,7,FALSE)</f>
        <v>-16482</v>
      </c>
      <c r="W250" s="246">
        <f>('OPEB Amounts_Report'!G250-'OPEB Amounts_Report'!M250)</f>
        <v>-183316</v>
      </c>
      <c r="X250" s="282">
        <f>SUM(Q250:U250)-('OPEB Amounts_Report'!G250-'OPEB Amounts_Report'!M250)</f>
        <v>0</v>
      </c>
    </row>
    <row r="251" spans="1:24" s="8" customFormat="1">
      <c r="A251" s="237">
        <v>2420</v>
      </c>
      <c r="B251" s="238" t="s">
        <v>237</v>
      </c>
      <c r="C251" s="48">
        <f t="shared" si="20"/>
        <v>-102243</v>
      </c>
      <c r="D251" s="48">
        <f t="shared" si="21"/>
        <v>-62373</v>
      </c>
      <c r="E251" s="48">
        <f t="shared" si="22"/>
        <v>-55133</v>
      </c>
      <c r="F251" s="48">
        <f t="shared" si="23"/>
        <v>-42151</v>
      </c>
      <c r="G251" s="48">
        <f t="shared" si="24"/>
        <v>-41046</v>
      </c>
      <c r="I251" s="51"/>
      <c r="K251" s="156">
        <f>ROUND(VLOOKUP($A251,'Contribution Allocation_Report'!$A$9:$D$310,4,FALSE)*$K$323,0)</f>
        <v>-121362</v>
      </c>
      <c r="L251" s="156">
        <f>ROUND(VLOOKUP($A251,'Contribution Allocation_Report'!$A$9:$D$310,4,FALSE)*$L$323,0)</f>
        <v>-76374</v>
      </c>
      <c r="M251" s="156">
        <f>ROUND(VLOOKUP($A251,'Contribution Allocation_Report'!$A$9:$D$310,4,FALSE)*$M$323,0)</f>
        <v>-43394</v>
      </c>
      <c r="N251" s="156">
        <f>ROUND(VLOOKUP($A251,'Contribution Allocation_Report'!$A$9:$D$310,4,FALSE)*$N$323,0)</f>
        <v>-8629</v>
      </c>
      <c r="O251" s="246">
        <f>ROUND(VLOOKUP($A251,'Contribution Allocation_Report'!$A$9:$D$310,4,FALSE)*$O$323,0)</f>
        <v>-35488</v>
      </c>
      <c r="Q251" s="246">
        <f>+K251+VLOOKUP(A251,'Change in Proportion Layers'!$A$8:$I$321,3,FALSE)+VLOOKUP(A251,'Change in Proportion Layers'!$A$8:$V$321,10,FALSE)+VLOOKUP(A251,'Change in Proportion Layers'!$A$8:$V$321,16,FALSE)+VLOOKUP(A251,'Change in Proportion Layers'!$A$8:$V$321,21,FALSE)</f>
        <v>-102243</v>
      </c>
      <c r="R251" s="246">
        <f>+L251+VLOOKUP(A251,'Change in Proportion Layers'!$A$8:$V$321,4,FALSE)+VLOOKUP(A251,'Change in Proportion Layers'!$A$8:$V$321,11,FALSE)+VLOOKUP(A251,'Change in Proportion Layers'!$A$8:$V$321,17,FALSE)+VLOOKUP(A251,'Change in Proportion Layers'!$A$8:$V$321,22,FALSE)</f>
        <v>-62373</v>
      </c>
      <c r="S251" s="246">
        <f>+M251+VLOOKUP(A251,'Change in Proportion Layers'!$A$8:$V$321,5,FALSE)+VLOOKUP(A251,'Change in Proportion Layers'!$A$8:$V$321,12,FALSE)+VLOOKUP(A251,'Change in Proportion Layers'!$A$8:$V$321,18,FALSE)</f>
        <v>-55133</v>
      </c>
      <c r="T251" s="246">
        <f>+N251+VLOOKUP(A251,'Change in Proportion Layers'!$A$8:$V$321,6,FALSE)+VLOOKUP(A251,'Change in Proportion Layers'!$A$8:$V$321,13,FALSE)</f>
        <v>-42151</v>
      </c>
      <c r="U251" s="246">
        <f>+O251+VLOOKUP(A251,'Change in Proportion Layers'!$A$8:$V$321,7,FALSE)-1</f>
        <v>-41046</v>
      </c>
      <c r="W251" s="246">
        <f>('OPEB Amounts_Report'!G251-'OPEB Amounts_Report'!M251)</f>
        <v>-302946</v>
      </c>
      <c r="X251" s="282">
        <f>SUM(Q251:U251)-('OPEB Amounts_Report'!G251-'OPEB Amounts_Report'!M251)</f>
        <v>0</v>
      </c>
    </row>
    <row r="252" spans="1:24" s="8" customFormat="1">
      <c r="A252" s="235">
        <v>2740</v>
      </c>
      <c r="B252" s="236" t="s">
        <v>238</v>
      </c>
      <c r="C252" s="245">
        <f t="shared" si="20"/>
        <v>-20934</v>
      </c>
      <c r="D252" s="245">
        <f t="shared" si="21"/>
        <v>-13788</v>
      </c>
      <c r="E252" s="245">
        <f t="shared" si="22"/>
        <v>-7857</v>
      </c>
      <c r="F252" s="245">
        <f t="shared" si="23"/>
        <v>318</v>
      </c>
      <c r="G252" s="245">
        <f t="shared" si="24"/>
        <v>853</v>
      </c>
      <c r="I252" s="51"/>
      <c r="K252" s="156">
        <f>ROUND(VLOOKUP($A252,'Contribution Allocation_Report'!$A$9:$D$310,4,FALSE)*$K$323,0)</f>
        <v>-20157</v>
      </c>
      <c r="L252" s="156">
        <f>ROUND(VLOOKUP($A252,'Contribution Allocation_Report'!$A$9:$D$310,4,FALSE)*$L$323,0)</f>
        <v>-12685</v>
      </c>
      <c r="M252" s="156">
        <f>ROUND(VLOOKUP($A252,'Contribution Allocation_Report'!$A$9:$D$310,4,FALSE)*$M$323,0)</f>
        <v>-7207</v>
      </c>
      <c r="N252" s="156">
        <f>ROUND(VLOOKUP($A252,'Contribution Allocation_Report'!$A$9:$D$310,4,FALSE)*$N$323,0)</f>
        <v>-1433</v>
      </c>
      <c r="O252" s="246">
        <f>ROUND(VLOOKUP($A252,'Contribution Allocation_Report'!$A$9:$D$310,4,FALSE)*$O$323,0)</f>
        <v>-5894</v>
      </c>
      <c r="Q252" s="246">
        <f>+K252+VLOOKUP(A252,'Change in Proportion Layers'!$A$8:$I$321,3,FALSE)+VLOOKUP(A252,'Change in Proportion Layers'!$A$8:$V$321,10,FALSE)+VLOOKUP(A252,'Change in Proportion Layers'!$A$8:$V$321,16,FALSE)+VLOOKUP(A252,'Change in Proportion Layers'!$A$8:$V$321,21,FALSE)</f>
        <v>-20934</v>
      </c>
      <c r="R252" s="246">
        <f>+L252+VLOOKUP(A252,'Change in Proportion Layers'!$A$8:$V$321,4,FALSE)+VLOOKUP(A252,'Change in Proportion Layers'!$A$8:$V$321,11,FALSE)+VLOOKUP(A252,'Change in Proportion Layers'!$A$8:$V$321,17,FALSE)+VLOOKUP(A252,'Change in Proportion Layers'!$A$8:$V$321,22,FALSE)</f>
        <v>-13788</v>
      </c>
      <c r="S252" s="246">
        <f>+M252+VLOOKUP(A252,'Change in Proportion Layers'!$A$8:$V$321,5,FALSE)+VLOOKUP(A252,'Change in Proportion Layers'!$A$8:$V$321,12,FALSE)+VLOOKUP(A252,'Change in Proportion Layers'!$A$8:$V$321,18,FALSE)</f>
        <v>-7857</v>
      </c>
      <c r="T252" s="246">
        <f>+N252+VLOOKUP(A252,'Change in Proportion Layers'!$A$8:$V$321,6,FALSE)+VLOOKUP(A252,'Change in Proportion Layers'!$A$8:$V$321,13,FALSE)</f>
        <v>318</v>
      </c>
      <c r="U252" s="246">
        <f>+O252+VLOOKUP(A252,'Change in Proportion Layers'!$A$8:$V$321,7,FALSE)</f>
        <v>853</v>
      </c>
      <c r="W252" s="246">
        <f>('OPEB Amounts_Report'!G252-'OPEB Amounts_Report'!M252)</f>
        <v>-41408</v>
      </c>
      <c r="X252" s="282">
        <f>SUM(Q252:U252)-('OPEB Amounts_Report'!G252-'OPEB Amounts_Report'!M252)</f>
        <v>0</v>
      </c>
    </row>
    <row r="253" spans="1:24" s="8" customFormat="1">
      <c r="A253" s="237">
        <v>2346</v>
      </c>
      <c r="B253" s="238" t="s">
        <v>239</v>
      </c>
      <c r="C253" s="48">
        <f t="shared" si="20"/>
        <v>-3040</v>
      </c>
      <c r="D253" s="48">
        <f t="shared" si="21"/>
        <v>11727</v>
      </c>
      <c r="E253" s="48">
        <f t="shared" si="22"/>
        <v>-17446</v>
      </c>
      <c r="F253" s="48">
        <f t="shared" si="23"/>
        <v>-7296</v>
      </c>
      <c r="G253" s="48">
        <f t="shared" si="24"/>
        <v>-28150</v>
      </c>
      <c r="I253" s="51"/>
      <c r="K253" s="156">
        <f>ROUND(VLOOKUP($A253,'Contribution Allocation_Report'!$A$9:$D$310,4,FALSE)*$K$323,0)</f>
        <v>-86486</v>
      </c>
      <c r="L253" s="156">
        <f>ROUND(VLOOKUP($A253,'Contribution Allocation_Report'!$A$9:$D$310,4,FALSE)*$L$323,0)</f>
        <v>-54426</v>
      </c>
      <c r="M253" s="156">
        <f>ROUND(VLOOKUP($A253,'Contribution Allocation_Report'!$A$9:$D$310,4,FALSE)*$M$323,0)</f>
        <v>-30924</v>
      </c>
      <c r="N253" s="156">
        <f>ROUND(VLOOKUP($A253,'Contribution Allocation_Report'!$A$9:$D$310,4,FALSE)*$N$323,0)</f>
        <v>-6149</v>
      </c>
      <c r="O253" s="246">
        <f>ROUND(VLOOKUP($A253,'Contribution Allocation_Report'!$A$9:$D$310,4,FALSE)*$O$323,0)</f>
        <v>-25290</v>
      </c>
      <c r="Q253" s="246">
        <f>+K253+VLOOKUP(A253,'Change in Proportion Layers'!$A$8:$I$321,3,FALSE)+VLOOKUP(A253,'Change in Proportion Layers'!$A$8:$V$321,10,FALSE)+VLOOKUP(A253,'Change in Proportion Layers'!$A$8:$V$321,16,FALSE)+VLOOKUP(A253,'Change in Proportion Layers'!$A$8:$V$321,21,FALSE)</f>
        <v>-3040</v>
      </c>
      <c r="R253" s="246">
        <f>+L253+VLOOKUP(A253,'Change in Proportion Layers'!$A$8:$V$321,4,FALSE)+VLOOKUP(A253,'Change in Proportion Layers'!$A$8:$V$321,11,FALSE)+VLOOKUP(A253,'Change in Proportion Layers'!$A$8:$V$321,17,FALSE)+VLOOKUP(A253,'Change in Proportion Layers'!$A$8:$V$321,22,FALSE)</f>
        <v>11727</v>
      </c>
      <c r="S253" s="246">
        <f>+M253+VLOOKUP(A253,'Change in Proportion Layers'!$A$8:$V$321,5,FALSE)+VLOOKUP(A253,'Change in Proportion Layers'!$A$8:$V$321,12,FALSE)+VLOOKUP(A253,'Change in Proportion Layers'!$A$8:$V$321,18,FALSE)</f>
        <v>-17446</v>
      </c>
      <c r="T253" s="246">
        <f>+N253+VLOOKUP(A253,'Change in Proportion Layers'!$A$8:$V$321,6,FALSE)+VLOOKUP(A253,'Change in Proportion Layers'!$A$8:$V$321,13,FALSE)</f>
        <v>-7296</v>
      </c>
      <c r="U253" s="246">
        <f>+O253+VLOOKUP(A253,'Change in Proportion Layers'!$A$8:$V$321,7,FALSE)-1</f>
        <v>-28150</v>
      </c>
      <c r="W253" s="246">
        <f>('OPEB Amounts_Report'!G253-'OPEB Amounts_Report'!M253)</f>
        <v>-44205</v>
      </c>
      <c r="X253" s="282">
        <f>SUM(Q253:U253)-('OPEB Amounts_Report'!G253-'OPEB Amounts_Report'!M253)</f>
        <v>0</v>
      </c>
    </row>
    <row r="254" spans="1:24" s="8" customFormat="1">
      <c r="A254" s="235">
        <v>21150</v>
      </c>
      <c r="B254" s="236" t="s">
        <v>240</v>
      </c>
      <c r="C254" s="245">
        <f t="shared" si="20"/>
        <v>-87589</v>
      </c>
      <c r="D254" s="245">
        <f t="shared" si="21"/>
        <v>-26895</v>
      </c>
      <c r="E254" s="245">
        <f t="shared" si="22"/>
        <v>-35219</v>
      </c>
      <c r="F254" s="245">
        <f t="shared" si="23"/>
        <v>-4413</v>
      </c>
      <c r="G254" s="245">
        <f t="shared" si="24"/>
        <v>-36810</v>
      </c>
      <c r="I254" s="51"/>
      <c r="K254" s="156">
        <f>ROUND(VLOOKUP($A254,'Contribution Allocation_Report'!$A$9:$D$310,4,FALSE)*$K$323,0)</f>
        <v>-215442</v>
      </c>
      <c r="L254" s="156">
        <f>ROUND(VLOOKUP($A254,'Contribution Allocation_Report'!$A$9:$D$310,4,FALSE)*$L$323,0)</f>
        <v>-135579</v>
      </c>
      <c r="M254" s="156">
        <f>ROUND(VLOOKUP($A254,'Contribution Allocation_Report'!$A$9:$D$310,4,FALSE)*$M$323,0)</f>
        <v>-77034</v>
      </c>
      <c r="N254" s="156">
        <f>ROUND(VLOOKUP($A254,'Contribution Allocation_Report'!$A$9:$D$310,4,FALSE)*$N$323,0)</f>
        <v>-15318</v>
      </c>
      <c r="O254" s="246">
        <f>ROUND(VLOOKUP($A254,'Contribution Allocation_Report'!$A$9:$D$310,4,FALSE)*$O$323,0)</f>
        <v>-62999</v>
      </c>
      <c r="Q254" s="246">
        <f>+K254+VLOOKUP(A254,'Change in Proportion Layers'!$A$8:$I$321,3,FALSE)+VLOOKUP(A254,'Change in Proportion Layers'!$A$8:$V$321,10,FALSE)+VLOOKUP(A254,'Change in Proportion Layers'!$A$8:$V$321,16,FALSE)+VLOOKUP(A254,'Change in Proportion Layers'!$A$8:$V$321,21,FALSE)</f>
        <v>-87589</v>
      </c>
      <c r="R254" s="246">
        <f>+L254+VLOOKUP(A254,'Change in Proportion Layers'!$A$8:$V$321,4,FALSE)+VLOOKUP(A254,'Change in Proportion Layers'!$A$8:$V$321,11,FALSE)+VLOOKUP(A254,'Change in Proportion Layers'!$A$8:$V$321,17,FALSE)+VLOOKUP(A254,'Change in Proportion Layers'!$A$8:$V$321,22,FALSE)</f>
        <v>-26895</v>
      </c>
      <c r="S254" s="246">
        <f>+M254+VLOOKUP(A254,'Change in Proportion Layers'!$A$8:$V$321,5,FALSE)+VLOOKUP(A254,'Change in Proportion Layers'!$A$8:$V$321,12,FALSE)+VLOOKUP(A254,'Change in Proportion Layers'!$A$8:$V$321,18,FALSE)</f>
        <v>-35219</v>
      </c>
      <c r="T254" s="246">
        <f>+N254+VLOOKUP(A254,'Change in Proportion Layers'!$A$8:$V$321,6,FALSE)+VLOOKUP(A254,'Change in Proportion Layers'!$A$8:$V$321,13,FALSE)</f>
        <v>-4413</v>
      </c>
      <c r="U254" s="246">
        <f>+O254+VLOOKUP(A254,'Change in Proportion Layers'!$A$8:$V$321,7,FALSE)-1</f>
        <v>-36810</v>
      </c>
      <c r="W254" s="246">
        <f>('OPEB Amounts_Report'!G254-'OPEB Amounts_Report'!M254)</f>
        <v>-190926</v>
      </c>
      <c r="X254" s="282">
        <f>SUM(Q254:U254)-('OPEB Amounts_Report'!G254-'OPEB Amounts_Report'!M254)</f>
        <v>0</v>
      </c>
    </row>
    <row r="255" spans="1:24" s="8" customFormat="1">
      <c r="A255" s="237">
        <v>32098</v>
      </c>
      <c r="B255" s="238" t="s">
        <v>241</v>
      </c>
      <c r="C255" s="48">
        <f t="shared" si="20"/>
        <v>-108943</v>
      </c>
      <c r="D255" s="48">
        <f t="shared" si="21"/>
        <v>-79013</v>
      </c>
      <c r="E255" s="48">
        <f t="shared" si="22"/>
        <v>-71098</v>
      </c>
      <c r="F255" s="48">
        <f t="shared" si="23"/>
        <v>-33848</v>
      </c>
      <c r="G255" s="48">
        <f t="shared" si="24"/>
        <v>-30574</v>
      </c>
      <c r="I255" s="51"/>
      <c r="K255" s="156">
        <f>ROUND(VLOOKUP($A255,'Contribution Allocation_Report'!$A$9:$D$310,4,FALSE)*$K$323,0)</f>
        <v>-106456</v>
      </c>
      <c r="L255" s="156">
        <f>ROUND(VLOOKUP($A255,'Contribution Allocation_Report'!$A$9:$D$310,4,FALSE)*$L$323,0)</f>
        <v>-66993</v>
      </c>
      <c r="M255" s="156">
        <f>ROUND(VLOOKUP($A255,'Contribution Allocation_Report'!$A$9:$D$310,4,FALSE)*$M$323,0)</f>
        <v>-38064</v>
      </c>
      <c r="N255" s="156">
        <f>ROUND(VLOOKUP($A255,'Contribution Allocation_Report'!$A$9:$D$310,4,FALSE)*$N$323,0)</f>
        <v>-7569</v>
      </c>
      <c r="O255" s="246">
        <f>ROUND(VLOOKUP($A255,'Contribution Allocation_Report'!$A$9:$D$310,4,FALSE)*$O$323,0)</f>
        <v>-31130</v>
      </c>
      <c r="Q255" s="246">
        <f>+K255+VLOOKUP(A255,'Change in Proportion Layers'!$A$8:$I$321,3,FALSE)+VLOOKUP(A255,'Change in Proportion Layers'!$A$8:$V$321,10,FALSE)+VLOOKUP(A255,'Change in Proportion Layers'!$A$8:$V$321,16,FALSE)+VLOOKUP(A255,'Change in Proportion Layers'!$A$8:$V$321,21,FALSE)</f>
        <v>-108943</v>
      </c>
      <c r="R255" s="246">
        <f>+L255+VLOOKUP(A255,'Change in Proportion Layers'!$A$8:$V$321,4,FALSE)+VLOOKUP(A255,'Change in Proportion Layers'!$A$8:$V$321,11,FALSE)+VLOOKUP(A255,'Change in Proportion Layers'!$A$8:$V$321,17,FALSE)+VLOOKUP(A255,'Change in Proportion Layers'!$A$8:$V$321,22,FALSE)</f>
        <v>-79013</v>
      </c>
      <c r="S255" s="246">
        <f>+M255+VLOOKUP(A255,'Change in Proportion Layers'!$A$8:$V$321,5,FALSE)+VLOOKUP(A255,'Change in Proportion Layers'!$A$8:$V$321,12,FALSE)+VLOOKUP(A255,'Change in Proportion Layers'!$A$8:$V$321,18,FALSE)</f>
        <v>-71098</v>
      </c>
      <c r="T255" s="246">
        <f>+N255+VLOOKUP(A255,'Change in Proportion Layers'!$A$8:$V$321,6,FALSE)+VLOOKUP(A255,'Change in Proportion Layers'!$A$8:$V$321,13,FALSE)</f>
        <v>-33848</v>
      </c>
      <c r="U255" s="246">
        <f>+O255+VLOOKUP(A255,'Change in Proportion Layers'!$A$8:$V$321,7,FALSE)+1</f>
        <v>-30574</v>
      </c>
      <c r="W255" s="246">
        <f>('OPEB Amounts_Report'!G255-'OPEB Amounts_Report'!M255)</f>
        <v>-323476</v>
      </c>
      <c r="X255" s="282">
        <f>SUM(Q255:U255)-('OPEB Amounts_Report'!G255-'OPEB Amounts_Report'!M255)</f>
        <v>0</v>
      </c>
    </row>
    <row r="256" spans="1:24" s="8" customFormat="1">
      <c r="A256" s="235">
        <v>4520</v>
      </c>
      <c r="B256" s="236" t="s">
        <v>242</v>
      </c>
      <c r="C256" s="245">
        <f t="shared" si="20"/>
        <v>-11714</v>
      </c>
      <c r="D256" s="245">
        <f t="shared" si="21"/>
        <v>-6449</v>
      </c>
      <c r="E256" s="245">
        <f t="shared" si="22"/>
        <v>-3111</v>
      </c>
      <c r="F256" s="245">
        <f t="shared" si="23"/>
        <v>259</v>
      </c>
      <c r="G256" s="245">
        <f t="shared" si="24"/>
        <v>-2528</v>
      </c>
      <c r="I256" s="51"/>
      <c r="K256" s="156">
        <f>ROUND(VLOOKUP($A256,'Contribution Allocation_Report'!$A$9:$D$310,4,FALSE)*$K$323,0)</f>
        <v>-14344</v>
      </c>
      <c r="L256" s="156">
        <f>ROUND(VLOOKUP($A256,'Contribution Allocation_Report'!$A$9:$D$310,4,FALSE)*$L$323,0)</f>
        <v>-9027</v>
      </c>
      <c r="M256" s="156">
        <f>ROUND(VLOOKUP($A256,'Contribution Allocation_Report'!$A$9:$D$310,4,FALSE)*$M$323,0)</f>
        <v>-5129</v>
      </c>
      <c r="N256" s="156">
        <f>ROUND(VLOOKUP($A256,'Contribution Allocation_Report'!$A$9:$D$310,4,FALSE)*$N$323,0)</f>
        <v>-1020</v>
      </c>
      <c r="O256" s="246">
        <f>ROUND(VLOOKUP($A256,'Contribution Allocation_Report'!$A$9:$D$310,4,FALSE)*$O$323,0)</f>
        <v>-4194</v>
      </c>
      <c r="Q256" s="246">
        <f>+K256+VLOOKUP(A256,'Change in Proportion Layers'!$A$8:$I$321,3,FALSE)+VLOOKUP(A256,'Change in Proportion Layers'!$A$8:$V$321,10,FALSE)+VLOOKUP(A256,'Change in Proportion Layers'!$A$8:$V$321,16,FALSE)+VLOOKUP(A256,'Change in Proportion Layers'!$A$8:$V$321,21,FALSE)</f>
        <v>-11714</v>
      </c>
      <c r="R256" s="246">
        <f>+L256+VLOOKUP(A256,'Change in Proportion Layers'!$A$8:$V$321,4,FALSE)+VLOOKUP(A256,'Change in Proportion Layers'!$A$8:$V$321,11,FALSE)+VLOOKUP(A256,'Change in Proportion Layers'!$A$8:$V$321,17,FALSE)+VLOOKUP(A256,'Change in Proportion Layers'!$A$8:$V$321,22,FALSE)</f>
        <v>-6449</v>
      </c>
      <c r="S256" s="246">
        <f>+M256+VLOOKUP(A256,'Change in Proportion Layers'!$A$8:$V$321,5,FALSE)+VLOOKUP(A256,'Change in Proportion Layers'!$A$8:$V$321,12,FALSE)+VLOOKUP(A256,'Change in Proportion Layers'!$A$8:$V$321,18,FALSE)</f>
        <v>-3111</v>
      </c>
      <c r="T256" s="246">
        <f>+N256+VLOOKUP(A256,'Change in Proportion Layers'!$A$8:$V$321,6,FALSE)+VLOOKUP(A256,'Change in Proportion Layers'!$A$8:$V$321,13,FALSE)</f>
        <v>259</v>
      </c>
      <c r="U256" s="246">
        <f>+O256+VLOOKUP(A256,'Change in Proportion Layers'!$A$8:$V$321,7,FALSE)</f>
        <v>-2528</v>
      </c>
      <c r="W256" s="246">
        <f>('OPEB Amounts_Report'!G256-'OPEB Amounts_Report'!M256)</f>
        <v>-23543</v>
      </c>
      <c r="X256" s="282">
        <f>SUM(Q256:U256)-('OPEB Amounts_Report'!G256-'OPEB Amounts_Report'!M256)</f>
        <v>0</v>
      </c>
    </row>
    <row r="257" spans="1:24" s="8" customFormat="1">
      <c r="A257" s="237">
        <v>9030</v>
      </c>
      <c r="B257" s="238" t="s">
        <v>243</v>
      </c>
      <c r="C257" s="48">
        <f t="shared" si="20"/>
        <v>-151072</v>
      </c>
      <c r="D257" s="48">
        <f t="shared" si="21"/>
        <v>-101996</v>
      </c>
      <c r="E257" s="48">
        <f t="shared" si="22"/>
        <v>-61875</v>
      </c>
      <c r="F257" s="48">
        <f t="shared" si="23"/>
        <v>-8883</v>
      </c>
      <c r="G257" s="48">
        <f t="shared" si="24"/>
        <v>-39503</v>
      </c>
      <c r="I257" s="51"/>
      <c r="K257" s="156">
        <f>ROUND(VLOOKUP($A257,'Contribution Allocation_Report'!$A$9:$D$310,4,FALSE)*$K$323,0)</f>
        <v>-137534</v>
      </c>
      <c r="L257" s="156">
        <f>ROUND(VLOOKUP($A257,'Contribution Allocation_Report'!$A$9:$D$310,4,FALSE)*$L$323,0)</f>
        <v>-86551</v>
      </c>
      <c r="M257" s="156">
        <f>ROUND(VLOOKUP($A257,'Contribution Allocation_Report'!$A$9:$D$310,4,FALSE)*$M$323,0)</f>
        <v>-49177</v>
      </c>
      <c r="N257" s="156">
        <f>ROUND(VLOOKUP($A257,'Contribution Allocation_Report'!$A$9:$D$310,4,FALSE)*$N$323,0)</f>
        <v>-9779</v>
      </c>
      <c r="O257" s="246">
        <f>ROUND(VLOOKUP($A257,'Contribution Allocation_Report'!$A$9:$D$310,4,FALSE)*$O$323,0)</f>
        <v>-40218</v>
      </c>
      <c r="Q257" s="246">
        <f>+K257+VLOOKUP(A257,'Change in Proportion Layers'!$A$8:$I$321,3,FALSE)+VLOOKUP(A257,'Change in Proportion Layers'!$A$8:$V$321,10,FALSE)+VLOOKUP(A257,'Change in Proportion Layers'!$A$8:$V$321,16,FALSE)+VLOOKUP(A257,'Change in Proportion Layers'!$A$8:$V$321,21,FALSE)</f>
        <v>-151072</v>
      </c>
      <c r="R257" s="246">
        <f>+L257+VLOOKUP(A257,'Change in Proportion Layers'!$A$8:$V$321,4,FALSE)+VLOOKUP(A257,'Change in Proportion Layers'!$A$8:$V$321,11,FALSE)+VLOOKUP(A257,'Change in Proportion Layers'!$A$8:$V$321,17,FALSE)+VLOOKUP(A257,'Change in Proportion Layers'!$A$8:$V$321,22,FALSE)</f>
        <v>-101996</v>
      </c>
      <c r="S257" s="246">
        <f>+M257+VLOOKUP(A257,'Change in Proportion Layers'!$A$8:$V$321,5,FALSE)+VLOOKUP(A257,'Change in Proportion Layers'!$A$8:$V$321,12,FALSE)+VLOOKUP(A257,'Change in Proportion Layers'!$A$8:$V$321,18,FALSE)</f>
        <v>-61875</v>
      </c>
      <c r="T257" s="246">
        <f>+N257+VLOOKUP(A257,'Change in Proportion Layers'!$A$8:$V$321,6,FALSE)+VLOOKUP(A257,'Change in Proportion Layers'!$A$8:$V$321,13,FALSE)</f>
        <v>-8883</v>
      </c>
      <c r="U257" s="246">
        <f>+O257+VLOOKUP(A257,'Change in Proportion Layers'!$A$8:$V$321,7,FALSE)+1</f>
        <v>-39503</v>
      </c>
      <c r="W257" s="246">
        <f>('OPEB Amounts_Report'!G257-'OPEB Amounts_Report'!M257)</f>
        <v>-363329</v>
      </c>
      <c r="X257" s="282">
        <f>SUM(Q257:U257)-('OPEB Amounts_Report'!G257-'OPEB Amounts_Report'!M257)</f>
        <v>0</v>
      </c>
    </row>
    <row r="258" spans="1:24" s="8" customFormat="1">
      <c r="A258" s="235">
        <v>20265</v>
      </c>
      <c r="B258" s="236" t="s">
        <v>244</v>
      </c>
      <c r="C258" s="245">
        <f t="shared" si="20"/>
        <v>-133890</v>
      </c>
      <c r="D258" s="245">
        <f t="shared" si="21"/>
        <v>-87837</v>
      </c>
      <c r="E258" s="245">
        <f t="shared" si="22"/>
        <v>-56709</v>
      </c>
      <c r="F258" s="245">
        <f t="shared" si="23"/>
        <v>-18443</v>
      </c>
      <c r="G258" s="245">
        <f t="shared" si="24"/>
        <v>-63548</v>
      </c>
      <c r="I258" s="51"/>
      <c r="K258" s="156">
        <f>ROUND(VLOOKUP($A258,'Contribution Allocation_Report'!$A$9:$D$310,4,FALSE)*$K$323,0)</f>
        <v>-129378</v>
      </c>
      <c r="L258" s="156">
        <f>ROUND(VLOOKUP($A258,'Contribution Allocation_Report'!$A$9:$D$310,4,FALSE)*$L$323,0)</f>
        <v>-81418</v>
      </c>
      <c r="M258" s="156">
        <f>ROUND(VLOOKUP($A258,'Contribution Allocation_Report'!$A$9:$D$310,4,FALSE)*$M$323,0)</f>
        <v>-46260</v>
      </c>
      <c r="N258" s="156">
        <f>ROUND(VLOOKUP($A258,'Contribution Allocation_Report'!$A$9:$D$310,4,FALSE)*$N$323,0)</f>
        <v>-9199</v>
      </c>
      <c r="O258" s="246">
        <f>ROUND(VLOOKUP($A258,'Contribution Allocation_Report'!$A$9:$D$310,4,FALSE)*$O$323,0)</f>
        <v>-37832</v>
      </c>
      <c r="Q258" s="246">
        <f>+K258+VLOOKUP(A258,'Change in Proportion Layers'!$A$8:$I$321,3,FALSE)+VLOOKUP(A258,'Change in Proportion Layers'!$A$8:$V$321,10,FALSE)+VLOOKUP(A258,'Change in Proportion Layers'!$A$8:$V$321,16,FALSE)+VLOOKUP(A258,'Change in Proportion Layers'!$A$8:$V$321,21,FALSE)</f>
        <v>-133890</v>
      </c>
      <c r="R258" s="246">
        <f>+L258+VLOOKUP(A258,'Change in Proportion Layers'!$A$8:$V$321,4,FALSE)+VLOOKUP(A258,'Change in Proportion Layers'!$A$8:$V$321,11,FALSE)+VLOOKUP(A258,'Change in Proportion Layers'!$A$8:$V$321,17,FALSE)+VLOOKUP(A258,'Change in Proportion Layers'!$A$8:$V$321,22,FALSE)</f>
        <v>-87837</v>
      </c>
      <c r="S258" s="246">
        <f>+M258+VLOOKUP(A258,'Change in Proportion Layers'!$A$8:$V$321,5,FALSE)+VLOOKUP(A258,'Change in Proportion Layers'!$A$8:$V$321,12,FALSE)+VLOOKUP(A258,'Change in Proportion Layers'!$A$8:$V$321,18,FALSE)</f>
        <v>-56709</v>
      </c>
      <c r="T258" s="246">
        <f>+N258+VLOOKUP(A258,'Change in Proportion Layers'!$A$8:$V$321,6,FALSE)+VLOOKUP(A258,'Change in Proportion Layers'!$A$8:$V$321,13,FALSE)</f>
        <v>-18443</v>
      </c>
      <c r="U258" s="246">
        <f>+O258+VLOOKUP(A258,'Change in Proportion Layers'!$A$8:$V$321,7,FALSE)-2</f>
        <v>-63548</v>
      </c>
      <c r="W258" s="246">
        <f>('OPEB Amounts_Report'!G258-'OPEB Amounts_Report'!M258)</f>
        <v>-360427</v>
      </c>
      <c r="X258" s="282">
        <f>SUM(Q258:U258)-('OPEB Amounts_Report'!G258-'OPEB Amounts_Report'!M258)</f>
        <v>0</v>
      </c>
    </row>
    <row r="259" spans="1:24" s="8" customFormat="1">
      <c r="A259" s="237">
        <v>20307</v>
      </c>
      <c r="B259" s="238" t="s">
        <v>245</v>
      </c>
      <c r="C259" s="48">
        <f t="shared" si="20"/>
        <v>-60249</v>
      </c>
      <c r="D259" s="48">
        <f t="shared" si="21"/>
        <v>-33402</v>
      </c>
      <c r="E259" s="48">
        <f t="shared" si="22"/>
        <v>-36401</v>
      </c>
      <c r="F259" s="48">
        <f t="shared" si="23"/>
        <v>25058</v>
      </c>
      <c r="G259" s="48">
        <f t="shared" si="24"/>
        <v>-6850</v>
      </c>
      <c r="I259" s="51"/>
      <c r="K259" s="156">
        <f>ROUND(VLOOKUP($A259,'Contribution Allocation_Report'!$A$9:$D$310,4,FALSE)*$K$323,0)</f>
        <v>-126565</v>
      </c>
      <c r="L259" s="156">
        <f>ROUND(VLOOKUP($A259,'Contribution Allocation_Report'!$A$9:$D$310,4,FALSE)*$L$323,0)</f>
        <v>-79648</v>
      </c>
      <c r="M259" s="156">
        <f>ROUND(VLOOKUP($A259,'Contribution Allocation_Report'!$A$9:$D$310,4,FALSE)*$M$323,0)</f>
        <v>-45255</v>
      </c>
      <c r="N259" s="156">
        <f>ROUND(VLOOKUP($A259,'Contribution Allocation_Report'!$A$9:$D$310,4,FALSE)*$N$323,0)</f>
        <v>-8999</v>
      </c>
      <c r="O259" s="246">
        <f>ROUND(VLOOKUP($A259,'Contribution Allocation_Report'!$A$9:$D$310,4,FALSE)*$O$323,0)</f>
        <v>-37010</v>
      </c>
      <c r="Q259" s="246">
        <f>+K259+VLOOKUP(A259,'Change in Proportion Layers'!$A$8:$I$321,3,FALSE)+VLOOKUP(A259,'Change in Proportion Layers'!$A$8:$V$321,10,FALSE)+VLOOKUP(A259,'Change in Proportion Layers'!$A$8:$V$321,16,FALSE)+VLOOKUP(A259,'Change in Proportion Layers'!$A$8:$V$321,21,FALSE)</f>
        <v>-60249</v>
      </c>
      <c r="R259" s="246">
        <f>+L259+VLOOKUP(A259,'Change in Proportion Layers'!$A$8:$V$321,4,FALSE)+VLOOKUP(A259,'Change in Proportion Layers'!$A$8:$V$321,11,FALSE)+VLOOKUP(A259,'Change in Proportion Layers'!$A$8:$V$321,17,FALSE)+VLOOKUP(A259,'Change in Proportion Layers'!$A$8:$V$321,22,FALSE)</f>
        <v>-33402</v>
      </c>
      <c r="S259" s="246">
        <f>+M259+VLOOKUP(A259,'Change in Proportion Layers'!$A$8:$V$321,5,FALSE)+VLOOKUP(A259,'Change in Proportion Layers'!$A$8:$V$321,12,FALSE)+VLOOKUP(A259,'Change in Proportion Layers'!$A$8:$V$321,18,FALSE)</f>
        <v>-36401</v>
      </c>
      <c r="T259" s="246">
        <f>+N259+VLOOKUP(A259,'Change in Proportion Layers'!$A$8:$V$321,6,FALSE)+VLOOKUP(A259,'Change in Proportion Layers'!$A$8:$V$321,13,FALSE)</f>
        <v>25058</v>
      </c>
      <c r="U259" s="246">
        <f>+O259+VLOOKUP(A259,'Change in Proportion Layers'!$A$8:$V$321,7,FALSE)</f>
        <v>-6850</v>
      </c>
      <c r="W259" s="246">
        <f>('OPEB Amounts_Report'!G259-'OPEB Amounts_Report'!M259)</f>
        <v>-111844</v>
      </c>
      <c r="X259" s="282">
        <f>SUM(Q259:U259)-('OPEB Amounts_Report'!G259-'OPEB Amounts_Report'!M259)</f>
        <v>0</v>
      </c>
    </row>
    <row r="260" spans="1:24" s="8" customFormat="1">
      <c r="A260" s="235">
        <v>3320</v>
      </c>
      <c r="B260" s="236" t="s">
        <v>246</v>
      </c>
      <c r="C260" s="245">
        <f t="shared" si="20"/>
        <v>-1101154</v>
      </c>
      <c r="D260" s="245">
        <f t="shared" si="21"/>
        <v>-773039</v>
      </c>
      <c r="E260" s="245">
        <f t="shared" si="22"/>
        <v>-515491</v>
      </c>
      <c r="F260" s="245">
        <f t="shared" si="23"/>
        <v>-147615</v>
      </c>
      <c r="G260" s="245">
        <f t="shared" si="24"/>
        <v>-205749</v>
      </c>
      <c r="I260" s="51"/>
      <c r="K260" s="156">
        <f>ROUND(VLOOKUP($A260,'Contribution Allocation_Report'!$A$9:$D$310,4,FALSE)*$K$323,0)</f>
        <v>-939209</v>
      </c>
      <c r="L260" s="156">
        <f>ROUND(VLOOKUP($A260,'Contribution Allocation_Report'!$A$9:$D$310,4,FALSE)*$L$323,0)</f>
        <v>-591050</v>
      </c>
      <c r="M260" s="156">
        <f>ROUND(VLOOKUP($A260,'Contribution Allocation_Report'!$A$9:$D$310,4,FALSE)*$M$323,0)</f>
        <v>-335824</v>
      </c>
      <c r="N260" s="156">
        <f>ROUND(VLOOKUP($A260,'Contribution Allocation_Report'!$A$9:$D$310,4,FALSE)*$N$323,0)</f>
        <v>-66778</v>
      </c>
      <c r="O260" s="246">
        <f>ROUND(VLOOKUP($A260,'Contribution Allocation_Report'!$A$9:$D$310,4,FALSE)*$O$323,0)</f>
        <v>-274642</v>
      </c>
      <c r="Q260" s="246">
        <f>+K260+VLOOKUP(A260,'Change in Proportion Layers'!$A$8:$I$321,3,FALSE)+VLOOKUP(A260,'Change in Proportion Layers'!$A$8:$V$321,10,FALSE)+VLOOKUP(A260,'Change in Proportion Layers'!$A$8:$V$321,16,FALSE)+VLOOKUP(A260,'Change in Proportion Layers'!$A$8:$V$321,21,FALSE)</f>
        <v>-1101154</v>
      </c>
      <c r="R260" s="246">
        <f>+L260+VLOOKUP(A260,'Change in Proportion Layers'!$A$8:$V$321,4,FALSE)+VLOOKUP(A260,'Change in Proportion Layers'!$A$8:$V$321,11,FALSE)+VLOOKUP(A260,'Change in Proportion Layers'!$A$8:$V$321,17,FALSE)+VLOOKUP(A260,'Change in Proportion Layers'!$A$8:$V$321,22,FALSE)</f>
        <v>-773039</v>
      </c>
      <c r="S260" s="246">
        <f>+M260+VLOOKUP(A260,'Change in Proportion Layers'!$A$8:$V$321,5,FALSE)+VLOOKUP(A260,'Change in Proportion Layers'!$A$8:$V$321,12,FALSE)+VLOOKUP(A260,'Change in Proportion Layers'!$A$8:$V$321,18,FALSE)</f>
        <v>-515491</v>
      </c>
      <c r="T260" s="246">
        <f>+N260+VLOOKUP(A260,'Change in Proportion Layers'!$A$8:$V$321,6,FALSE)+VLOOKUP(A260,'Change in Proportion Layers'!$A$8:$V$321,13,FALSE)</f>
        <v>-147615</v>
      </c>
      <c r="U260" s="246">
        <f>+O260+VLOOKUP(A260,'Change in Proportion Layers'!$A$8:$V$321,7,FALSE)+1</f>
        <v>-205749</v>
      </c>
      <c r="W260" s="246">
        <f>('OPEB Amounts_Report'!G260-'OPEB Amounts_Report'!M260)</f>
        <v>-2743048</v>
      </c>
      <c r="X260" s="282">
        <f>SUM(Q260:U260)-('OPEB Amounts_Report'!G260-'OPEB Amounts_Report'!M260)</f>
        <v>0</v>
      </c>
    </row>
    <row r="261" spans="1:24" s="8" customFormat="1">
      <c r="A261" s="237">
        <v>20415</v>
      </c>
      <c r="B261" s="238" t="s">
        <v>247</v>
      </c>
      <c r="C261" s="48">
        <f t="shared" si="20"/>
        <v>-77142</v>
      </c>
      <c r="D261" s="48">
        <f t="shared" si="21"/>
        <v>-42132</v>
      </c>
      <c r="E261" s="48">
        <f t="shared" si="22"/>
        <v>-24073</v>
      </c>
      <c r="F261" s="48">
        <f t="shared" si="23"/>
        <v>-20353</v>
      </c>
      <c r="G261" s="48">
        <f t="shared" si="24"/>
        <v>-19586</v>
      </c>
      <c r="I261" s="51"/>
      <c r="K261" s="156">
        <f>ROUND(VLOOKUP($A261,'Contribution Allocation_Report'!$A$9:$D$310,4,FALSE)*$K$323,0)</f>
        <v>-87611</v>
      </c>
      <c r="L261" s="156">
        <f>ROUND(VLOOKUP($A261,'Contribution Allocation_Report'!$A$9:$D$310,4,FALSE)*$L$323,0)</f>
        <v>-55134</v>
      </c>
      <c r="M261" s="156">
        <f>ROUND(VLOOKUP($A261,'Contribution Allocation_Report'!$A$9:$D$310,4,FALSE)*$M$323,0)</f>
        <v>-31326</v>
      </c>
      <c r="N261" s="156">
        <f>ROUND(VLOOKUP($A261,'Contribution Allocation_Report'!$A$9:$D$310,4,FALSE)*$N$323,0)</f>
        <v>-6229</v>
      </c>
      <c r="O261" s="246">
        <f>ROUND(VLOOKUP($A261,'Contribution Allocation_Report'!$A$9:$D$310,4,FALSE)*$O$323,0)</f>
        <v>-25619</v>
      </c>
      <c r="Q261" s="246">
        <f>+K261+VLOOKUP(A261,'Change in Proportion Layers'!$A$8:$I$321,3,FALSE)+VLOOKUP(A261,'Change in Proportion Layers'!$A$8:$V$321,10,FALSE)+VLOOKUP(A261,'Change in Proportion Layers'!$A$8:$V$321,16,FALSE)+VLOOKUP(A261,'Change in Proportion Layers'!$A$8:$V$321,21,FALSE)</f>
        <v>-77142</v>
      </c>
      <c r="R261" s="246">
        <f>+L261+VLOOKUP(A261,'Change in Proportion Layers'!$A$8:$V$321,4,FALSE)+VLOOKUP(A261,'Change in Proportion Layers'!$A$8:$V$321,11,FALSE)+VLOOKUP(A261,'Change in Proportion Layers'!$A$8:$V$321,17,FALSE)+VLOOKUP(A261,'Change in Proportion Layers'!$A$8:$V$321,22,FALSE)</f>
        <v>-42132</v>
      </c>
      <c r="S261" s="246">
        <f>+M261+VLOOKUP(A261,'Change in Proportion Layers'!$A$8:$V$321,5,FALSE)+VLOOKUP(A261,'Change in Proportion Layers'!$A$8:$V$321,12,FALSE)+VLOOKUP(A261,'Change in Proportion Layers'!$A$8:$V$321,18,FALSE)</f>
        <v>-24073</v>
      </c>
      <c r="T261" s="246">
        <f>+N261+VLOOKUP(A261,'Change in Proportion Layers'!$A$8:$V$321,6,FALSE)+VLOOKUP(A261,'Change in Proportion Layers'!$A$8:$V$321,13,FALSE)</f>
        <v>-20353</v>
      </c>
      <c r="U261" s="246">
        <f>+O261+VLOOKUP(A261,'Change in Proportion Layers'!$A$8:$V$321,7,FALSE)</f>
        <v>-19586</v>
      </c>
      <c r="W261" s="246">
        <f>('OPEB Amounts_Report'!G261-'OPEB Amounts_Report'!M261)</f>
        <v>-183286</v>
      </c>
      <c r="X261" s="282">
        <f>SUM(Q261:U261)-('OPEB Amounts_Report'!G261-'OPEB Amounts_Report'!M261)</f>
        <v>0</v>
      </c>
    </row>
    <row r="262" spans="1:24" s="8" customFormat="1">
      <c r="A262" s="235">
        <v>20435</v>
      </c>
      <c r="B262" s="236" t="s">
        <v>441</v>
      </c>
      <c r="C262" s="245">
        <f t="shared" si="20"/>
        <v>-93339</v>
      </c>
      <c r="D262" s="245">
        <f t="shared" si="21"/>
        <v>-63779</v>
      </c>
      <c r="E262" s="245">
        <f t="shared" si="22"/>
        <v>-45474</v>
      </c>
      <c r="F262" s="245">
        <f t="shared" si="23"/>
        <v>11955</v>
      </c>
      <c r="G262" s="245">
        <f t="shared" si="24"/>
        <v>-30278</v>
      </c>
      <c r="I262" s="51"/>
      <c r="K262" s="156">
        <f>ROUND(VLOOKUP($A262,'Contribution Allocation_Report'!$A$9:$D$310,4,FALSE)*$K$323,0)</f>
        <v>-107065</v>
      </c>
      <c r="L262" s="156">
        <f>ROUND(VLOOKUP($A262,'Contribution Allocation_Report'!$A$9:$D$310,4,FALSE)*$L$323,0)</f>
        <v>-67377</v>
      </c>
      <c r="M262" s="156">
        <f>ROUND(VLOOKUP($A262,'Contribution Allocation_Report'!$A$9:$D$310,4,FALSE)*$M$323,0)</f>
        <v>-38282</v>
      </c>
      <c r="N262" s="156">
        <f>ROUND(VLOOKUP($A262,'Contribution Allocation_Report'!$A$9:$D$310,4,FALSE)*$N$323,0)</f>
        <v>-7612</v>
      </c>
      <c r="O262" s="246">
        <f>ROUND(VLOOKUP($A262,'Contribution Allocation_Report'!$A$9:$D$310,4,FALSE)*$O$323,0)</f>
        <v>-31308</v>
      </c>
      <c r="Q262" s="246">
        <f>+K262+VLOOKUP(A262,'Change in Proportion Layers'!$A$8:$I$321,3,FALSE)+VLOOKUP(A262,'Change in Proportion Layers'!$A$8:$V$321,10,FALSE)+VLOOKUP(A262,'Change in Proportion Layers'!$A$8:$V$321,16,FALSE)+VLOOKUP(A262,'Change in Proportion Layers'!$A$8:$V$321,21,FALSE)</f>
        <v>-93339</v>
      </c>
      <c r="R262" s="246">
        <f>+L262+VLOOKUP(A262,'Change in Proportion Layers'!$A$8:$V$321,4,FALSE)+VLOOKUP(A262,'Change in Proportion Layers'!$A$8:$V$321,11,FALSE)+VLOOKUP(A262,'Change in Proportion Layers'!$A$8:$V$321,17,FALSE)+VLOOKUP(A262,'Change in Proportion Layers'!$A$8:$V$321,22,FALSE)</f>
        <v>-63779</v>
      </c>
      <c r="S262" s="246">
        <f>+M262+VLOOKUP(A262,'Change in Proportion Layers'!$A$8:$V$321,5,FALSE)+VLOOKUP(A262,'Change in Proportion Layers'!$A$8:$V$321,12,FALSE)+VLOOKUP(A262,'Change in Proportion Layers'!$A$8:$V$321,18,FALSE)</f>
        <v>-45474</v>
      </c>
      <c r="T262" s="246">
        <f>+N262+VLOOKUP(A262,'Change in Proportion Layers'!$A$8:$V$321,6,FALSE)+VLOOKUP(A262,'Change in Proportion Layers'!$A$8:$V$321,13,FALSE)</f>
        <v>11955</v>
      </c>
      <c r="U262" s="246">
        <f>+O262+VLOOKUP(A262,'Change in Proportion Layers'!$A$8:$V$321,7,FALSE)-1</f>
        <v>-30278</v>
      </c>
      <c r="W262" s="246">
        <f>('OPEB Amounts_Report'!G262-'OPEB Amounts_Report'!M262)</f>
        <v>-220915</v>
      </c>
      <c r="X262" s="282">
        <f>SUM(Q262:U262)-('OPEB Amounts_Report'!G262-'OPEB Amounts_Report'!M262)</f>
        <v>0</v>
      </c>
    </row>
    <row r="263" spans="1:24" s="8" customFormat="1">
      <c r="A263" s="237">
        <v>20062</v>
      </c>
      <c r="B263" s="238" t="s">
        <v>248</v>
      </c>
      <c r="C263" s="48">
        <f t="shared" si="20"/>
        <v>-1436575</v>
      </c>
      <c r="D263" s="48">
        <f t="shared" si="21"/>
        <v>-862337</v>
      </c>
      <c r="E263" s="48">
        <f t="shared" si="22"/>
        <v>-399080</v>
      </c>
      <c r="F263" s="48">
        <f t="shared" si="23"/>
        <v>1908</v>
      </c>
      <c r="G263" s="48">
        <f t="shared" si="24"/>
        <v>-330764</v>
      </c>
      <c r="I263" s="51"/>
      <c r="K263" s="156">
        <f>ROUND(VLOOKUP($A263,'Contribution Allocation_Report'!$A$9:$D$310,4,FALSE)*$K$323,0)</f>
        <v>-1470408</v>
      </c>
      <c r="L263" s="156">
        <f>ROUND(VLOOKUP($A263,'Contribution Allocation_Report'!$A$9:$D$310,4,FALSE)*$L$323,0)</f>
        <v>-925337</v>
      </c>
      <c r="M263" s="156">
        <f>ROUND(VLOOKUP($A263,'Contribution Allocation_Report'!$A$9:$D$310,4,FALSE)*$M$323,0)</f>
        <v>-525760</v>
      </c>
      <c r="N263" s="156">
        <f>ROUND(VLOOKUP($A263,'Contribution Allocation_Report'!$A$9:$D$310,4,FALSE)*$N$323,0)</f>
        <v>-104546</v>
      </c>
      <c r="O263" s="246">
        <f>ROUND(VLOOKUP($A263,'Contribution Allocation_Report'!$A$9:$D$310,4,FALSE)*$O$323,0)</f>
        <v>-429974</v>
      </c>
      <c r="Q263" s="246">
        <f>+K263+VLOOKUP(A263,'Change in Proportion Layers'!$A$8:$I$321,3,FALSE)+VLOOKUP(A263,'Change in Proportion Layers'!$A$8:$V$321,10,FALSE)+VLOOKUP(A263,'Change in Proportion Layers'!$A$8:$V$321,16,FALSE)+VLOOKUP(A263,'Change in Proportion Layers'!$A$8:$V$321,21,FALSE)</f>
        <v>-1436575</v>
      </c>
      <c r="R263" s="246">
        <f>+L263+VLOOKUP(A263,'Change in Proportion Layers'!$A$8:$V$321,4,FALSE)+VLOOKUP(A263,'Change in Proportion Layers'!$A$8:$V$321,11,FALSE)+VLOOKUP(A263,'Change in Proportion Layers'!$A$8:$V$321,17,FALSE)+VLOOKUP(A263,'Change in Proportion Layers'!$A$8:$V$321,22,FALSE)</f>
        <v>-862337</v>
      </c>
      <c r="S263" s="246">
        <f>+M263+VLOOKUP(A263,'Change in Proportion Layers'!$A$8:$V$321,5,FALSE)+VLOOKUP(A263,'Change in Proportion Layers'!$A$8:$V$321,12,FALSE)+VLOOKUP(A263,'Change in Proportion Layers'!$A$8:$V$321,18,FALSE)</f>
        <v>-399080</v>
      </c>
      <c r="T263" s="246">
        <f>+N263+VLOOKUP(A263,'Change in Proportion Layers'!$A$8:$V$321,6,FALSE)+VLOOKUP(A263,'Change in Proportion Layers'!$A$8:$V$321,13,FALSE)</f>
        <v>1908</v>
      </c>
      <c r="U263" s="246">
        <f>+O263+VLOOKUP(A263,'Change in Proportion Layers'!$A$8:$V$321,7,FALSE)-1</f>
        <v>-330764</v>
      </c>
      <c r="W263" s="246">
        <f>('OPEB Amounts_Report'!G263-'OPEB Amounts_Report'!M263)</f>
        <v>-3026848</v>
      </c>
      <c r="X263" s="282">
        <f>SUM(Q263:U263)-('OPEB Amounts_Report'!G263-'OPEB Amounts_Report'!M263)</f>
        <v>0</v>
      </c>
    </row>
    <row r="264" spans="1:24" s="8" customFormat="1">
      <c r="A264" s="235">
        <v>6020</v>
      </c>
      <c r="B264" s="236" t="s">
        <v>249</v>
      </c>
      <c r="C264" s="245">
        <f t="shared" si="20"/>
        <v>-289616</v>
      </c>
      <c r="D264" s="245">
        <f t="shared" si="21"/>
        <v>-175813</v>
      </c>
      <c r="E264" s="245">
        <f t="shared" si="22"/>
        <v>-77052</v>
      </c>
      <c r="F264" s="245">
        <f t="shared" si="23"/>
        <v>-4699</v>
      </c>
      <c r="G264" s="245">
        <f t="shared" si="24"/>
        <v>-63141</v>
      </c>
      <c r="I264" s="51"/>
      <c r="K264" s="156">
        <f>ROUND(VLOOKUP($A264,'Contribution Allocation_Report'!$A$9:$D$310,4,FALSE)*$K$323,0)</f>
        <v>-278350</v>
      </c>
      <c r="L264" s="156">
        <f>ROUND(VLOOKUP($A264,'Contribution Allocation_Report'!$A$9:$D$310,4,FALSE)*$L$323,0)</f>
        <v>-175167</v>
      </c>
      <c r="M264" s="156">
        <f>ROUND(VLOOKUP($A264,'Contribution Allocation_Report'!$A$9:$D$310,4,FALSE)*$M$323,0)</f>
        <v>-99527</v>
      </c>
      <c r="N264" s="156">
        <f>ROUND(VLOOKUP($A264,'Contribution Allocation_Report'!$A$9:$D$310,4,FALSE)*$N$323,0)</f>
        <v>-19791</v>
      </c>
      <c r="O264" s="246">
        <f>ROUND(VLOOKUP($A264,'Contribution Allocation_Report'!$A$9:$D$310,4,FALSE)*$O$323,0)</f>
        <v>-81395</v>
      </c>
      <c r="Q264" s="246">
        <f>+K264+VLOOKUP(A264,'Change in Proportion Layers'!$A$8:$I$321,3,FALSE)+VLOOKUP(A264,'Change in Proportion Layers'!$A$8:$V$321,10,FALSE)+VLOOKUP(A264,'Change in Proportion Layers'!$A$8:$V$321,16,FALSE)+VLOOKUP(A264,'Change in Proportion Layers'!$A$8:$V$321,21,FALSE)</f>
        <v>-289616</v>
      </c>
      <c r="R264" s="246">
        <f>+L264+VLOOKUP(A264,'Change in Proportion Layers'!$A$8:$V$321,4,FALSE)+VLOOKUP(A264,'Change in Proportion Layers'!$A$8:$V$321,11,FALSE)+VLOOKUP(A264,'Change in Proportion Layers'!$A$8:$V$321,17,FALSE)+VLOOKUP(A264,'Change in Proportion Layers'!$A$8:$V$321,22,FALSE)</f>
        <v>-175813</v>
      </c>
      <c r="S264" s="246">
        <f>+M264+VLOOKUP(A264,'Change in Proportion Layers'!$A$8:$V$321,5,FALSE)+VLOOKUP(A264,'Change in Proportion Layers'!$A$8:$V$321,12,FALSE)+VLOOKUP(A264,'Change in Proportion Layers'!$A$8:$V$321,18,FALSE)</f>
        <v>-77052</v>
      </c>
      <c r="T264" s="246">
        <f>+N264+VLOOKUP(A264,'Change in Proportion Layers'!$A$8:$V$321,6,FALSE)+VLOOKUP(A264,'Change in Proportion Layers'!$A$8:$V$321,13,FALSE)</f>
        <v>-4699</v>
      </c>
      <c r="U264" s="246">
        <f>+O264+VLOOKUP(A264,'Change in Proportion Layers'!$A$8:$V$321,7,FALSE)+1</f>
        <v>-63141</v>
      </c>
      <c r="W264" s="246">
        <f>('OPEB Amounts_Report'!G264-'OPEB Amounts_Report'!M264)</f>
        <v>-610321</v>
      </c>
      <c r="X264" s="282">
        <f>SUM(Q264:U264)-('OPEB Amounts_Report'!G264-'OPEB Amounts_Report'!M264)</f>
        <v>0</v>
      </c>
    </row>
    <row r="265" spans="1:24" s="8" customFormat="1">
      <c r="A265" s="237">
        <v>2394</v>
      </c>
      <c r="B265" s="238" t="s">
        <v>250</v>
      </c>
      <c r="C265" s="48">
        <f t="shared" si="20"/>
        <v>-25472</v>
      </c>
      <c r="D265" s="48">
        <f t="shared" si="21"/>
        <v>3859</v>
      </c>
      <c r="E265" s="48">
        <f t="shared" si="22"/>
        <v>-27115</v>
      </c>
      <c r="F265" s="48">
        <f t="shared" si="23"/>
        <v>2098</v>
      </c>
      <c r="G265" s="48">
        <f t="shared" si="24"/>
        <v>-34467</v>
      </c>
      <c r="I265" s="51"/>
      <c r="K265" s="156">
        <f>ROUND(VLOOKUP($A265,'Contribution Allocation_Report'!$A$9:$D$310,4,FALSE)*$K$323,0)</f>
        <v>-145831</v>
      </c>
      <c r="L265" s="156">
        <f>ROUND(VLOOKUP($A265,'Contribution Allocation_Report'!$A$9:$D$310,4,FALSE)*$L$323,0)</f>
        <v>-91773</v>
      </c>
      <c r="M265" s="156">
        <f>ROUND(VLOOKUP($A265,'Contribution Allocation_Report'!$A$9:$D$310,4,FALSE)*$M$323,0)</f>
        <v>-52144</v>
      </c>
      <c r="N265" s="156">
        <f>ROUND(VLOOKUP($A265,'Contribution Allocation_Report'!$A$9:$D$310,4,FALSE)*$N$323,0)</f>
        <v>-10369</v>
      </c>
      <c r="O265" s="246">
        <f>ROUND(VLOOKUP($A265,'Contribution Allocation_Report'!$A$9:$D$310,4,FALSE)*$O$323,0)</f>
        <v>-42644</v>
      </c>
      <c r="Q265" s="246">
        <f>+K265+VLOOKUP(A265,'Change in Proportion Layers'!$A$8:$I$321,3,FALSE)+VLOOKUP(A265,'Change in Proportion Layers'!$A$8:$V$321,10,FALSE)+VLOOKUP(A265,'Change in Proportion Layers'!$A$8:$V$321,16,FALSE)+VLOOKUP(A265,'Change in Proportion Layers'!$A$8:$V$321,21,FALSE)</f>
        <v>-25472</v>
      </c>
      <c r="R265" s="246">
        <f>+L265+VLOOKUP(A265,'Change in Proportion Layers'!$A$8:$V$321,4,FALSE)+VLOOKUP(A265,'Change in Proportion Layers'!$A$8:$V$321,11,FALSE)+VLOOKUP(A265,'Change in Proportion Layers'!$A$8:$V$321,17,FALSE)+VLOOKUP(A265,'Change in Proportion Layers'!$A$8:$V$321,22,FALSE)</f>
        <v>3859</v>
      </c>
      <c r="S265" s="246">
        <f>+M265+VLOOKUP(A265,'Change in Proportion Layers'!$A$8:$V$321,5,FALSE)+VLOOKUP(A265,'Change in Proportion Layers'!$A$8:$V$321,12,FALSE)+VLOOKUP(A265,'Change in Proportion Layers'!$A$8:$V$321,18,FALSE)</f>
        <v>-27115</v>
      </c>
      <c r="T265" s="246">
        <f>+N265+VLOOKUP(A265,'Change in Proportion Layers'!$A$8:$V$321,6,FALSE)+VLOOKUP(A265,'Change in Proportion Layers'!$A$8:$V$321,13,FALSE)</f>
        <v>2098</v>
      </c>
      <c r="U265" s="246">
        <f>+O265+VLOOKUP(A265,'Change in Proportion Layers'!$A$8:$V$321,7,FALSE)+2</f>
        <v>-34467</v>
      </c>
      <c r="W265" s="246">
        <f>('OPEB Amounts_Report'!G265-'OPEB Amounts_Report'!M265)</f>
        <v>-81097</v>
      </c>
      <c r="X265" s="282">
        <f>SUM(Q265:U265)-('OPEB Amounts_Report'!G265-'OPEB Amounts_Report'!M265)</f>
        <v>0</v>
      </c>
    </row>
    <row r="266" spans="1:24" s="8" customFormat="1">
      <c r="A266" s="235">
        <v>5015</v>
      </c>
      <c r="B266" s="236" t="s">
        <v>251</v>
      </c>
      <c r="C266" s="245">
        <f t="shared" si="20"/>
        <v>-390451</v>
      </c>
      <c r="D266" s="245">
        <f t="shared" si="21"/>
        <v>-232297</v>
      </c>
      <c r="E266" s="245">
        <f t="shared" si="22"/>
        <v>-99707</v>
      </c>
      <c r="F266" s="245">
        <f t="shared" si="23"/>
        <v>5977</v>
      </c>
      <c r="G266" s="245">
        <f t="shared" si="24"/>
        <v>-93894</v>
      </c>
      <c r="I266" s="51"/>
      <c r="K266" s="156">
        <f>ROUND(VLOOKUP($A266,'Contribution Allocation_Report'!$A$9:$D$310,4,FALSE)*$K$323,0)</f>
        <v>-396009</v>
      </c>
      <c r="L266" s="156">
        <f>ROUND(VLOOKUP($A266,'Contribution Allocation_Report'!$A$9:$D$310,4,FALSE)*$L$323,0)</f>
        <v>-249211</v>
      </c>
      <c r="M266" s="156">
        <f>ROUND(VLOOKUP($A266,'Contribution Allocation_Report'!$A$9:$D$310,4,FALSE)*$M$323,0)</f>
        <v>-141597</v>
      </c>
      <c r="N266" s="156">
        <f>ROUND(VLOOKUP($A266,'Contribution Allocation_Report'!$A$9:$D$310,4,FALSE)*$N$323,0)</f>
        <v>-28156</v>
      </c>
      <c r="O266" s="246">
        <f>ROUND(VLOOKUP($A266,'Contribution Allocation_Report'!$A$9:$D$310,4,FALSE)*$O$323,0)</f>
        <v>-115800</v>
      </c>
      <c r="Q266" s="246">
        <f>+K266+VLOOKUP(A266,'Change in Proportion Layers'!$A$8:$I$321,3,FALSE)+VLOOKUP(A266,'Change in Proportion Layers'!$A$8:$V$321,10,FALSE)+VLOOKUP(A266,'Change in Proportion Layers'!$A$8:$V$321,16,FALSE)+VLOOKUP(A266,'Change in Proportion Layers'!$A$8:$V$321,21,FALSE)</f>
        <v>-390451</v>
      </c>
      <c r="R266" s="246">
        <f>+L266+VLOOKUP(A266,'Change in Proportion Layers'!$A$8:$V$321,4,FALSE)+VLOOKUP(A266,'Change in Proportion Layers'!$A$8:$V$321,11,FALSE)+VLOOKUP(A266,'Change in Proportion Layers'!$A$8:$V$321,17,FALSE)+VLOOKUP(A266,'Change in Proportion Layers'!$A$8:$V$321,22,FALSE)</f>
        <v>-232297</v>
      </c>
      <c r="S266" s="246">
        <f>+M266+VLOOKUP(A266,'Change in Proportion Layers'!$A$8:$V$321,5,FALSE)+VLOOKUP(A266,'Change in Proportion Layers'!$A$8:$V$321,12,FALSE)+VLOOKUP(A266,'Change in Proportion Layers'!$A$8:$V$321,18,FALSE)</f>
        <v>-99707</v>
      </c>
      <c r="T266" s="246">
        <f>+N266+VLOOKUP(A266,'Change in Proportion Layers'!$A$8:$V$321,6,FALSE)+VLOOKUP(A266,'Change in Proportion Layers'!$A$8:$V$321,13,FALSE)</f>
        <v>5977</v>
      </c>
      <c r="U266" s="246">
        <f>+O266+VLOOKUP(A266,'Change in Proportion Layers'!$A$8:$V$321,7,FALSE)</f>
        <v>-93894</v>
      </c>
      <c r="W266" s="246">
        <f>('OPEB Amounts_Report'!G266-'OPEB Amounts_Report'!M266)</f>
        <v>-810372</v>
      </c>
      <c r="X266" s="282">
        <f>SUM(Q266:U266)-('OPEB Amounts_Report'!G266-'OPEB Amounts_Report'!M266)</f>
        <v>0</v>
      </c>
    </row>
    <row r="267" spans="1:24" s="8" customFormat="1">
      <c r="A267" s="237">
        <v>29408</v>
      </c>
      <c r="B267" s="238" t="s">
        <v>252</v>
      </c>
      <c r="C267" s="48">
        <f t="shared" si="20"/>
        <v>-165247</v>
      </c>
      <c r="D267" s="48">
        <f t="shared" si="21"/>
        <v>-71076</v>
      </c>
      <c r="E267" s="48">
        <f t="shared" si="22"/>
        <v>-15853</v>
      </c>
      <c r="F267" s="48">
        <f t="shared" si="23"/>
        <v>46169</v>
      </c>
      <c r="G267" s="48">
        <f t="shared" si="24"/>
        <v>-37711</v>
      </c>
      <c r="I267" s="51"/>
      <c r="K267" s="156">
        <f>ROUND(VLOOKUP($A267,'Contribution Allocation_Report'!$A$9:$D$310,4,FALSE)*$K$323,0)</f>
        <v>-263584</v>
      </c>
      <c r="L267" s="156">
        <f>ROUND(VLOOKUP($A267,'Contribution Allocation_Report'!$A$9:$D$310,4,FALSE)*$L$323,0)</f>
        <v>-165875</v>
      </c>
      <c r="M267" s="156">
        <f>ROUND(VLOOKUP($A267,'Contribution Allocation_Report'!$A$9:$D$310,4,FALSE)*$M$323,0)</f>
        <v>-94247</v>
      </c>
      <c r="N267" s="156">
        <f>ROUND(VLOOKUP($A267,'Contribution Allocation_Report'!$A$9:$D$310,4,FALSE)*$N$323,0)</f>
        <v>-18741</v>
      </c>
      <c r="O267" s="246">
        <f>ROUND(VLOOKUP($A267,'Contribution Allocation_Report'!$A$9:$D$310,4,FALSE)*$O$323,0)</f>
        <v>-77077</v>
      </c>
      <c r="Q267" s="246">
        <f>+K267+VLOOKUP(A267,'Change in Proportion Layers'!$A$8:$I$321,3,FALSE)+VLOOKUP(A267,'Change in Proportion Layers'!$A$8:$V$321,10,FALSE)+VLOOKUP(A267,'Change in Proportion Layers'!$A$8:$V$321,16,FALSE)+VLOOKUP(A267,'Change in Proportion Layers'!$A$8:$V$321,21,FALSE)</f>
        <v>-165247</v>
      </c>
      <c r="R267" s="246">
        <f>+L267+VLOOKUP(A267,'Change in Proportion Layers'!$A$8:$V$321,4,FALSE)+VLOOKUP(A267,'Change in Proportion Layers'!$A$8:$V$321,11,FALSE)+VLOOKUP(A267,'Change in Proportion Layers'!$A$8:$V$321,17,FALSE)+VLOOKUP(A267,'Change in Proportion Layers'!$A$8:$V$321,22,FALSE)</f>
        <v>-71076</v>
      </c>
      <c r="S267" s="246">
        <f>+M267+VLOOKUP(A267,'Change in Proportion Layers'!$A$8:$V$321,5,FALSE)+VLOOKUP(A267,'Change in Proportion Layers'!$A$8:$V$321,12,FALSE)+VLOOKUP(A267,'Change in Proportion Layers'!$A$8:$V$321,18,FALSE)</f>
        <v>-15853</v>
      </c>
      <c r="T267" s="246">
        <f>+N267+VLOOKUP(A267,'Change in Proportion Layers'!$A$8:$V$321,6,FALSE)+VLOOKUP(A267,'Change in Proportion Layers'!$A$8:$V$321,13,FALSE)</f>
        <v>46169</v>
      </c>
      <c r="U267" s="246">
        <f>+O267+VLOOKUP(A267,'Change in Proportion Layers'!$A$8:$V$321,7,FALSE)</f>
        <v>-37711</v>
      </c>
      <c r="W267" s="246">
        <f>('OPEB Amounts_Report'!G267-'OPEB Amounts_Report'!M267)</f>
        <v>-243718</v>
      </c>
      <c r="X267" s="282">
        <f>SUM(Q267:U267)-('OPEB Amounts_Report'!G267-'OPEB Amounts_Report'!M267)</f>
        <v>0</v>
      </c>
    </row>
    <row r="268" spans="1:24" s="8" customFormat="1">
      <c r="A268" s="235">
        <v>2413</v>
      </c>
      <c r="B268" s="236" t="s">
        <v>253</v>
      </c>
      <c r="C268" s="245">
        <f t="shared" si="20"/>
        <v>-141761</v>
      </c>
      <c r="D268" s="245">
        <f t="shared" si="21"/>
        <v>-104442</v>
      </c>
      <c r="E268" s="245">
        <f t="shared" si="22"/>
        <v>-52998</v>
      </c>
      <c r="F268" s="245">
        <f t="shared" si="23"/>
        <v>-30517</v>
      </c>
      <c r="G268" s="245">
        <f t="shared" si="24"/>
        <v>-44517</v>
      </c>
      <c r="I268" s="51"/>
      <c r="K268" s="156">
        <f>ROUND(VLOOKUP($A268,'Contribution Allocation_Report'!$A$9:$D$310,4,FALSE)*$K$323,0)</f>
        <v>-67830</v>
      </c>
      <c r="L268" s="156">
        <f>ROUND(VLOOKUP($A268,'Contribution Allocation_Report'!$A$9:$D$310,4,FALSE)*$L$323,0)</f>
        <v>-42686</v>
      </c>
      <c r="M268" s="156">
        <f>ROUND(VLOOKUP($A268,'Contribution Allocation_Report'!$A$9:$D$310,4,FALSE)*$M$323,0)</f>
        <v>-24253</v>
      </c>
      <c r="N268" s="156">
        <f>ROUND(VLOOKUP($A268,'Contribution Allocation_Report'!$A$9:$D$310,4,FALSE)*$N$323,0)</f>
        <v>-4823</v>
      </c>
      <c r="O268" s="246">
        <f>ROUND(VLOOKUP($A268,'Contribution Allocation_Report'!$A$9:$D$310,4,FALSE)*$O$323,0)</f>
        <v>-19835</v>
      </c>
      <c r="Q268" s="246">
        <f>+K268+VLOOKUP(A268,'Change in Proportion Layers'!$A$8:$I$321,3,FALSE)+VLOOKUP(A268,'Change in Proportion Layers'!$A$8:$V$321,10,FALSE)+VLOOKUP(A268,'Change in Proportion Layers'!$A$8:$V$321,16,FALSE)+VLOOKUP(A268,'Change in Proportion Layers'!$A$8:$V$321,21,FALSE)</f>
        <v>-141761</v>
      </c>
      <c r="R268" s="246">
        <f>+L268+VLOOKUP(A268,'Change in Proportion Layers'!$A$8:$V$321,4,FALSE)+VLOOKUP(A268,'Change in Proportion Layers'!$A$8:$V$321,11,FALSE)+VLOOKUP(A268,'Change in Proportion Layers'!$A$8:$V$321,17,FALSE)+VLOOKUP(A268,'Change in Proportion Layers'!$A$8:$V$321,22,FALSE)</f>
        <v>-104442</v>
      </c>
      <c r="S268" s="246">
        <f>+M268+VLOOKUP(A268,'Change in Proportion Layers'!$A$8:$V$321,5,FALSE)+VLOOKUP(A268,'Change in Proportion Layers'!$A$8:$V$321,12,FALSE)+VLOOKUP(A268,'Change in Proportion Layers'!$A$8:$V$321,18,FALSE)</f>
        <v>-52998</v>
      </c>
      <c r="T268" s="246">
        <f>+N268+VLOOKUP(A268,'Change in Proportion Layers'!$A$8:$V$321,6,FALSE)+VLOOKUP(A268,'Change in Proportion Layers'!$A$8:$V$321,13,FALSE)</f>
        <v>-30517</v>
      </c>
      <c r="U268" s="246">
        <f>+O268+VLOOKUP(A268,'Change in Proportion Layers'!$A$8:$V$321,7,FALSE)+1</f>
        <v>-44517</v>
      </c>
      <c r="W268" s="246">
        <f>('OPEB Amounts_Report'!G268-'OPEB Amounts_Report'!M268)</f>
        <v>-374235</v>
      </c>
      <c r="X268" s="282">
        <f>SUM(Q268:U268)-('OPEB Amounts_Report'!G268-'OPEB Amounts_Report'!M268)</f>
        <v>0</v>
      </c>
    </row>
    <row r="269" spans="1:24" s="8" customFormat="1">
      <c r="A269" s="237">
        <v>1398</v>
      </c>
      <c r="B269" s="238" t="s">
        <v>254</v>
      </c>
      <c r="C269" s="48">
        <f t="shared" ref="C269:C297" si="30">+Q269</f>
        <v>-90398</v>
      </c>
      <c r="D269" s="48">
        <f t="shared" ref="D269:D297" si="31">+R269</f>
        <v>-47904</v>
      </c>
      <c r="E269" s="48">
        <f t="shared" ref="E269:E297" si="32">+S269</f>
        <v>-25712</v>
      </c>
      <c r="F269" s="48">
        <f t="shared" ref="F269:F297" si="33">+T269</f>
        <v>2170</v>
      </c>
      <c r="G269" s="48">
        <f t="shared" ref="G269:G297" si="34">+U269</f>
        <v>-42165</v>
      </c>
      <c r="I269" s="51"/>
      <c r="K269" s="156">
        <f>ROUND(VLOOKUP($A269,'Contribution Allocation_Report'!$A$9:$D$310,4,FALSE)*$K$323,0)</f>
        <v>-122206</v>
      </c>
      <c r="L269" s="156">
        <f>ROUND(VLOOKUP($A269,'Contribution Allocation_Report'!$A$9:$D$310,4,FALSE)*$L$323,0)</f>
        <v>-76905</v>
      </c>
      <c r="M269" s="156">
        <f>ROUND(VLOOKUP($A269,'Contribution Allocation_Report'!$A$9:$D$310,4,FALSE)*$M$323,0)</f>
        <v>-43696</v>
      </c>
      <c r="N269" s="156">
        <f>ROUND(VLOOKUP($A269,'Contribution Allocation_Report'!$A$9:$D$310,4,FALSE)*$N$323,0)</f>
        <v>-8689</v>
      </c>
      <c r="O269" s="246">
        <f>ROUND(VLOOKUP($A269,'Contribution Allocation_Report'!$A$9:$D$310,4,FALSE)*$O$323,0)</f>
        <v>-35735</v>
      </c>
      <c r="Q269" s="246">
        <f>+K269+VLOOKUP(A269,'Change in Proportion Layers'!$A$8:$I$321,3,FALSE)+VLOOKUP(A269,'Change in Proportion Layers'!$A$8:$V$321,10,FALSE)+VLOOKUP(A269,'Change in Proportion Layers'!$A$8:$V$321,16,FALSE)+VLOOKUP(A269,'Change in Proportion Layers'!$A$8:$V$321,21,FALSE)</f>
        <v>-90398</v>
      </c>
      <c r="R269" s="246">
        <f>+L269+VLOOKUP(A269,'Change in Proportion Layers'!$A$8:$V$321,4,FALSE)+VLOOKUP(A269,'Change in Proportion Layers'!$A$8:$V$321,11,FALSE)+VLOOKUP(A269,'Change in Proportion Layers'!$A$8:$V$321,17,FALSE)+VLOOKUP(A269,'Change in Proportion Layers'!$A$8:$V$321,22,FALSE)</f>
        <v>-47904</v>
      </c>
      <c r="S269" s="246">
        <f>+M269+VLOOKUP(A269,'Change in Proportion Layers'!$A$8:$V$321,5,FALSE)+VLOOKUP(A269,'Change in Proportion Layers'!$A$8:$V$321,12,FALSE)+VLOOKUP(A269,'Change in Proportion Layers'!$A$8:$V$321,18,FALSE)</f>
        <v>-25712</v>
      </c>
      <c r="T269" s="246">
        <f>+N269+VLOOKUP(A269,'Change in Proportion Layers'!$A$8:$V$321,6,FALSE)+VLOOKUP(A269,'Change in Proportion Layers'!$A$8:$V$321,13,FALSE)</f>
        <v>2170</v>
      </c>
      <c r="U269" s="246">
        <f>+O269+VLOOKUP(A269,'Change in Proportion Layers'!$A$8:$V$321,7,FALSE)</f>
        <v>-42165</v>
      </c>
      <c r="W269" s="246">
        <f>('OPEB Amounts_Report'!G269-'OPEB Amounts_Report'!M269)</f>
        <v>-204009</v>
      </c>
      <c r="X269" s="282">
        <f>SUM(Q269:U269)-('OPEB Amounts_Report'!G269-'OPEB Amounts_Report'!M269)</f>
        <v>0</v>
      </c>
    </row>
    <row r="270" spans="1:24" s="8" customFormat="1">
      <c r="A270" s="235">
        <v>2366</v>
      </c>
      <c r="B270" s="236" t="s">
        <v>255</v>
      </c>
      <c r="C270" s="245">
        <f t="shared" si="30"/>
        <v>-160464</v>
      </c>
      <c r="D270" s="245">
        <f t="shared" si="31"/>
        <v>-108264</v>
      </c>
      <c r="E270" s="245">
        <f t="shared" si="32"/>
        <v>-59241</v>
      </c>
      <c r="F270" s="245">
        <f t="shared" si="33"/>
        <v>-17737</v>
      </c>
      <c r="G270" s="245">
        <f t="shared" si="34"/>
        <v>-31105</v>
      </c>
      <c r="I270" s="51"/>
      <c r="K270" s="156">
        <f>ROUND(VLOOKUP($A270,'Contribution Allocation_Report'!$A$9:$D$310,4,FALSE)*$K$323,0)</f>
        <v>-128628</v>
      </c>
      <c r="L270" s="156">
        <f>ROUND(VLOOKUP($A270,'Contribution Allocation_Report'!$A$9:$D$310,4,FALSE)*$L$323,0)</f>
        <v>-80946</v>
      </c>
      <c r="M270" s="156">
        <f>ROUND(VLOOKUP($A270,'Contribution Allocation_Report'!$A$9:$D$310,4,FALSE)*$M$323,0)</f>
        <v>-45992</v>
      </c>
      <c r="N270" s="156">
        <f>ROUND(VLOOKUP($A270,'Contribution Allocation_Report'!$A$9:$D$310,4,FALSE)*$N$323,0)</f>
        <v>-9145</v>
      </c>
      <c r="O270" s="246">
        <f>ROUND(VLOOKUP($A270,'Contribution Allocation_Report'!$A$9:$D$310,4,FALSE)*$O$323,0)</f>
        <v>-37613</v>
      </c>
      <c r="Q270" s="246">
        <f>+K270+VLOOKUP(A270,'Change in Proportion Layers'!$A$8:$I$321,3,FALSE)+VLOOKUP(A270,'Change in Proportion Layers'!$A$8:$V$321,10,FALSE)+VLOOKUP(A270,'Change in Proportion Layers'!$A$8:$V$321,16,FALSE)+VLOOKUP(A270,'Change in Proportion Layers'!$A$8:$V$321,21,FALSE)</f>
        <v>-160464</v>
      </c>
      <c r="R270" s="246">
        <f>+L270+VLOOKUP(A270,'Change in Proportion Layers'!$A$8:$V$321,4,FALSE)+VLOOKUP(A270,'Change in Proportion Layers'!$A$8:$V$321,11,FALSE)+VLOOKUP(A270,'Change in Proportion Layers'!$A$8:$V$321,17,FALSE)+VLOOKUP(A270,'Change in Proportion Layers'!$A$8:$V$321,22,FALSE)</f>
        <v>-108264</v>
      </c>
      <c r="S270" s="246">
        <f>+M270+VLOOKUP(A270,'Change in Proportion Layers'!$A$8:$V$321,5,FALSE)+VLOOKUP(A270,'Change in Proportion Layers'!$A$8:$V$321,12,FALSE)+VLOOKUP(A270,'Change in Proportion Layers'!$A$8:$V$321,18,FALSE)</f>
        <v>-59241</v>
      </c>
      <c r="T270" s="246">
        <f>+N270+VLOOKUP(A270,'Change in Proportion Layers'!$A$8:$V$321,6,FALSE)+VLOOKUP(A270,'Change in Proportion Layers'!$A$8:$V$321,13,FALSE)</f>
        <v>-17737</v>
      </c>
      <c r="U270" s="246">
        <f>+O270+VLOOKUP(A270,'Change in Proportion Layers'!$A$8:$V$321,7,FALSE)-1</f>
        <v>-31105</v>
      </c>
      <c r="W270" s="246">
        <f>('OPEB Amounts_Report'!G270-'OPEB Amounts_Report'!M270)</f>
        <v>-376811</v>
      </c>
      <c r="X270" s="282">
        <f>SUM(Q270:U270)-('OPEB Amounts_Report'!G270-'OPEB Amounts_Report'!M270)</f>
        <v>0</v>
      </c>
    </row>
    <row r="271" spans="1:24" s="8" customFormat="1">
      <c r="A271" s="237">
        <v>7421</v>
      </c>
      <c r="B271" s="238" t="s">
        <v>256</v>
      </c>
      <c r="C271" s="48">
        <f t="shared" si="30"/>
        <v>-161442</v>
      </c>
      <c r="D271" s="48">
        <f t="shared" si="31"/>
        <v>-114604</v>
      </c>
      <c r="E271" s="48">
        <f t="shared" si="32"/>
        <v>-69274</v>
      </c>
      <c r="F271" s="48">
        <f t="shared" si="33"/>
        <v>-53130</v>
      </c>
      <c r="G271" s="48">
        <f t="shared" si="34"/>
        <v>-25846</v>
      </c>
      <c r="I271" s="51"/>
      <c r="K271" s="156">
        <f>ROUND(VLOOKUP($A271,'Contribution Allocation_Report'!$A$9:$D$310,4,FALSE)*$K$323,0)</f>
        <v>-99237</v>
      </c>
      <c r="L271" s="156">
        <f>ROUND(VLOOKUP($A271,'Contribution Allocation_Report'!$A$9:$D$310,4,FALSE)*$L$323,0)</f>
        <v>-62450</v>
      </c>
      <c r="M271" s="156">
        <f>ROUND(VLOOKUP($A271,'Contribution Allocation_Report'!$A$9:$D$310,4,FALSE)*$M$323,0)</f>
        <v>-35483</v>
      </c>
      <c r="N271" s="156">
        <f>ROUND(VLOOKUP($A271,'Contribution Allocation_Report'!$A$9:$D$310,4,FALSE)*$N$323,0)</f>
        <v>-7056</v>
      </c>
      <c r="O271" s="246">
        <f>ROUND(VLOOKUP($A271,'Contribution Allocation_Report'!$A$9:$D$310,4,FALSE)*$O$323,0)</f>
        <v>-29019</v>
      </c>
      <c r="Q271" s="246">
        <f>+K271+VLOOKUP(A271,'Change in Proportion Layers'!$A$8:$I$321,3,FALSE)+VLOOKUP(A271,'Change in Proportion Layers'!$A$8:$V$321,10,FALSE)+VLOOKUP(A271,'Change in Proportion Layers'!$A$8:$V$321,16,FALSE)+VLOOKUP(A271,'Change in Proportion Layers'!$A$8:$V$321,21,FALSE)</f>
        <v>-161442</v>
      </c>
      <c r="R271" s="246">
        <f>+L271+VLOOKUP(A271,'Change in Proportion Layers'!$A$8:$V$321,4,FALSE)+VLOOKUP(A271,'Change in Proportion Layers'!$A$8:$V$321,11,FALSE)+VLOOKUP(A271,'Change in Proportion Layers'!$A$8:$V$321,17,FALSE)+VLOOKUP(A271,'Change in Proportion Layers'!$A$8:$V$321,22,FALSE)</f>
        <v>-114604</v>
      </c>
      <c r="S271" s="246">
        <f>+M271+VLOOKUP(A271,'Change in Proportion Layers'!$A$8:$V$321,5,FALSE)+VLOOKUP(A271,'Change in Proportion Layers'!$A$8:$V$321,12,FALSE)+VLOOKUP(A271,'Change in Proportion Layers'!$A$8:$V$321,18,FALSE)</f>
        <v>-69274</v>
      </c>
      <c r="T271" s="246">
        <f>+N271+VLOOKUP(A271,'Change in Proportion Layers'!$A$8:$V$321,6,FALSE)+VLOOKUP(A271,'Change in Proportion Layers'!$A$8:$V$321,13,FALSE)</f>
        <v>-53130</v>
      </c>
      <c r="U271" s="246">
        <f>+O271+VLOOKUP(A271,'Change in Proportion Layers'!$A$8:$V$321,7,FALSE)</f>
        <v>-25846</v>
      </c>
      <c r="W271" s="246">
        <f>('OPEB Amounts_Report'!G271-'OPEB Amounts_Report'!M271)</f>
        <v>-424296</v>
      </c>
      <c r="X271" s="282">
        <f>SUM(Q271:U271)-('OPEB Amounts_Report'!G271-'OPEB Amounts_Report'!M271)</f>
        <v>0</v>
      </c>
    </row>
    <row r="272" spans="1:24" s="8" customFormat="1">
      <c r="A272" s="235">
        <v>2370</v>
      </c>
      <c r="B272" s="236" t="s">
        <v>257</v>
      </c>
      <c r="C272" s="245">
        <f t="shared" si="30"/>
        <v>-179004</v>
      </c>
      <c r="D272" s="245">
        <f t="shared" si="31"/>
        <v>-98468</v>
      </c>
      <c r="E272" s="245">
        <f t="shared" si="32"/>
        <v>-25091</v>
      </c>
      <c r="F272" s="245">
        <f t="shared" si="33"/>
        <v>18702</v>
      </c>
      <c r="G272" s="245">
        <f t="shared" si="34"/>
        <v>-40734</v>
      </c>
      <c r="I272" s="51"/>
      <c r="K272" s="156">
        <f>ROUND(VLOOKUP($A272,'Contribution Allocation_Report'!$A$9:$D$310,4,FALSE)*$K$323,0)</f>
        <v>-188161</v>
      </c>
      <c r="L272" s="156">
        <f>ROUND(VLOOKUP($A272,'Contribution Allocation_Report'!$A$9:$D$310,4,FALSE)*$L$323,0)</f>
        <v>-118411</v>
      </c>
      <c r="M272" s="156">
        <f>ROUND(VLOOKUP($A272,'Contribution Allocation_Report'!$A$9:$D$310,4,FALSE)*$M$323,0)</f>
        <v>-67279</v>
      </c>
      <c r="N272" s="156">
        <f>ROUND(VLOOKUP($A272,'Contribution Allocation_Report'!$A$9:$D$310,4,FALSE)*$N$323,0)</f>
        <v>-13378</v>
      </c>
      <c r="O272" s="246">
        <f>ROUND(VLOOKUP($A272,'Contribution Allocation_Report'!$A$9:$D$310,4,FALSE)*$O$323,0)</f>
        <v>-55022</v>
      </c>
      <c r="Q272" s="246">
        <f>+K272+VLOOKUP(A272,'Change in Proportion Layers'!$A$8:$I$321,3,FALSE)+VLOOKUP(A272,'Change in Proportion Layers'!$A$8:$V$321,10,FALSE)+VLOOKUP(A272,'Change in Proportion Layers'!$A$8:$V$321,16,FALSE)+VLOOKUP(A272,'Change in Proportion Layers'!$A$8:$V$321,21,FALSE)</f>
        <v>-179004</v>
      </c>
      <c r="R272" s="246">
        <f>+L272+VLOOKUP(A272,'Change in Proportion Layers'!$A$8:$V$321,4,FALSE)+VLOOKUP(A272,'Change in Proportion Layers'!$A$8:$V$321,11,FALSE)+VLOOKUP(A272,'Change in Proportion Layers'!$A$8:$V$321,17,FALSE)+VLOOKUP(A272,'Change in Proportion Layers'!$A$8:$V$321,22,FALSE)</f>
        <v>-98468</v>
      </c>
      <c r="S272" s="246">
        <f>+M272+VLOOKUP(A272,'Change in Proportion Layers'!$A$8:$V$321,5,FALSE)+VLOOKUP(A272,'Change in Proportion Layers'!$A$8:$V$321,12,FALSE)+VLOOKUP(A272,'Change in Proportion Layers'!$A$8:$V$321,18,FALSE)</f>
        <v>-25091</v>
      </c>
      <c r="T272" s="246">
        <f>+N272+VLOOKUP(A272,'Change in Proportion Layers'!$A$8:$V$321,6,FALSE)+VLOOKUP(A272,'Change in Proportion Layers'!$A$8:$V$321,13,FALSE)</f>
        <v>18702</v>
      </c>
      <c r="U272" s="246">
        <f>+O272+VLOOKUP(A272,'Change in Proportion Layers'!$A$8:$V$321,7,FALSE)+1</f>
        <v>-40734</v>
      </c>
      <c r="W272" s="246">
        <f>('OPEB Amounts_Report'!G272-'OPEB Amounts_Report'!M272)</f>
        <v>-324595</v>
      </c>
      <c r="X272" s="282">
        <f>SUM(Q272:U272)-('OPEB Amounts_Report'!G272-'OPEB Amounts_Report'!M272)</f>
        <v>0</v>
      </c>
    </row>
    <row r="273" spans="1:24" s="8" customFormat="1">
      <c r="A273" s="237">
        <v>32094</v>
      </c>
      <c r="B273" s="238" t="s">
        <v>258</v>
      </c>
      <c r="C273" s="48">
        <f t="shared" si="30"/>
        <v>-199780</v>
      </c>
      <c r="D273" s="48">
        <f t="shared" si="31"/>
        <v>-122320</v>
      </c>
      <c r="E273" s="48">
        <f t="shared" si="32"/>
        <v>-52040</v>
      </c>
      <c r="F273" s="48">
        <f t="shared" si="33"/>
        <v>5829</v>
      </c>
      <c r="G273" s="48">
        <f t="shared" si="34"/>
        <v>-48220</v>
      </c>
      <c r="I273" s="51"/>
      <c r="K273" s="156">
        <f>ROUND(VLOOKUP($A273,'Contribution Allocation_Report'!$A$9:$D$310,4,FALSE)*$K$323,0)</f>
        <v>-191770</v>
      </c>
      <c r="L273" s="156">
        <f>ROUND(VLOOKUP($A273,'Contribution Allocation_Report'!$A$9:$D$310,4,FALSE)*$L$323,0)</f>
        <v>-120682</v>
      </c>
      <c r="M273" s="156">
        <f>ROUND(VLOOKUP($A273,'Contribution Allocation_Report'!$A$9:$D$310,4,FALSE)*$M$323,0)</f>
        <v>-68569</v>
      </c>
      <c r="N273" s="156">
        <f>ROUND(VLOOKUP($A273,'Contribution Allocation_Report'!$A$9:$D$310,4,FALSE)*$N$323,0)</f>
        <v>-13635</v>
      </c>
      <c r="O273" s="246">
        <f>ROUND(VLOOKUP($A273,'Contribution Allocation_Report'!$A$9:$D$310,4,FALSE)*$O$323,0)</f>
        <v>-56077</v>
      </c>
      <c r="Q273" s="246">
        <f>+K273+VLOOKUP(A273,'Change in Proportion Layers'!$A$8:$I$321,3,FALSE)+VLOOKUP(A273,'Change in Proportion Layers'!$A$8:$V$321,10,FALSE)+VLOOKUP(A273,'Change in Proportion Layers'!$A$8:$V$321,16,FALSE)+VLOOKUP(A273,'Change in Proportion Layers'!$A$8:$V$321,21,FALSE)</f>
        <v>-199780</v>
      </c>
      <c r="R273" s="246">
        <f>+L273+VLOOKUP(A273,'Change in Proportion Layers'!$A$8:$V$321,4,FALSE)+VLOOKUP(A273,'Change in Proportion Layers'!$A$8:$V$321,11,FALSE)+VLOOKUP(A273,'Change in Proportion Layers'!$A$8:$V$321,17,FALSE)+VLOOKUP(A273,'Change in Proportion Layers'!$A$8:$V$321,22,FALSE)</f>
        <v>-122320</v>
      </c>
      <c r="S273" s="246">
        <f>+M273+VLOOKUP(A273,'Change in Proportion Layers'!$A$8:$V$321,5,FALSE)+VLOOKUP(A273,'Change in Proportion Layers'!$A$8:$V$321,12,FALSE)+VLOOKUP(A273,'Change in Proportion Layers'!$A$8:$V$321,18,FALSE)</f>
        <v>-52040</v>
      </c>
      <c r="T273" s="246">
        <f>+N273+VLOOKUP(A273,'Change in Proportion Layers'!$A$8:$V$321,6,FALSE)+VLOOKUP(A273,'Change in Proportion Layers'!$A$8:$V$321,13,FALSE)</f>
        <v>5829</v>
      </c>
      <c r="U273" s="246">
        <f>+O273+VLOOKUP(A273,'Change in Proportion Layers'!$A$8:$V$321,7,FALSE)</f>
        <v>-48220</v>
      </c>
      <c r="W273" s="246">
        <f>('OPEB Amounts_Report'!G273-'OPEB Amounts_Report'!M273)</f>
        <v>-416531</v>
      </c>
      <c r="X273" s="282">
        <f>SUM(Q273:U273)-('OPEB Amounts_Report'!G273-'OPEB Amounts_Report'!M273)</f>
        <v>0</v>
      </c>
    </row>
    <row r="274" spans="1:24" s="8" customFormat="1">
      <c r="A274" s="235">
        <v>2790</v>
      </c>
      <c r="B274" s="236" t="s">
        <v>259</v>
      </c>
      <c r="C274" s="245">
        <f t="shared" si="30"/>
        <v>-28884</v>
      </c>
      <c r="D274" s="245">
        <f t="shared" si="31"/>
        <v>-19893</v>
      </c>
      <c r="E274" s="245">
        <f t="shared" si="32"/>
        <v>-11567</v>
      </c>
      <c r="F274" s="245">
        <f t="shared" si="33"/>
        <v>-5786</v>
      </c>
      <c r="G274" s="245">
        <f t="shared" si="34"/>
        <v>1886</v>
      </c>
      <c r="I274" s="51"/>
      <c r="K274" s="156">
        <f>ROUND(VLOOKUP($A274,'Contribution Allocation_Report'!$A$9:$D$310,4,FALSE)*$K$323,0)</f>
        <v>-21235</v>
      </c>
      <c r="L274" s="156">
        <f>ROUND(VLOOKUP($A274,'Contribution Allocation_Report'!$A$9:$D$310,4,FALSE)*$L$323,0)</f>
        <v>-13363</v>
      </c>
      <c r="M274" s="156">
        <f>ROUND(VLOOKUP($A274,'Contribution Allocation_Report'!$A$9:$D$310,4,FALSE)*$M$323,0)</f>
        <v>-7593</v>
      </c>
      <c r="N274" s="156">
        <f>ROUND(VLOOKUP($A274,'Contribution Allocation_Report'!$A$9:$D$310,4,FALSE)*$N$323,0)</f>
        <v>-1510</v>
      </c>
      <c r="O274" s="246">
        <f>ROUND(VLOOKUP($A274,'Contribution Allocation_Report'!$A$9:$D$310,4,FALSE)*$O$323,0)</f>
        <v>-6209</v>
      </c>
      <c r="Q274" s="246">
        <f>+K274+VLOOKUP(A274,'Change in Proportion Layers'!$A$8:$I$321,3,FALSE)+VLOOKUP(A274,'Change in Proportion Layers'!$A$8:$V$321,10,FALSE)+VLOOKUP(A274,'Change in Proportion Layers'!$A$8:$V$321,16,FALSE)+VLOOKUP(A274,'Change in Proportion Layers'!$A$8:$V$321,21,FALSE)</f>
        <v>-28884</v>
      </c>
      <c r="R274" s="246">
        <f>+L274+VLOOKUP(A274,'Change in Proportion Layers'!$A$8:$V$321,4,FALSE)+VLOOKUP(A274,'Change in Proportion Layers'!$A$8:$V$321,11,FALSE)+VLOOKUP(A274,'Change in Proportion Layers'!$A$8:$V$321,17,FALSE)+VLOOKUP(A274,'Change in Proportion Layers'!$A$8:$V$321,22,FALSE)</f>
        <v>-19893</v>
      </c>
      <c r="S274" s="246">
        <f>+M274+VLOOKUP(A274,'Change in Proportion Layers'!$A$8:$V$321,5,FALSE)+VLOOKUP(A274,'Change in Proportion Layers'!$A$8:$V$321,12,FALSE)+VLOOKUP(A274,'Change in Proportion Layers'!$A$8:$V$321,18,FALSE)</f>
        <v>-11567</v>
      </c>
      <c r="T274" s="246">
        <f>+N274+VLOOKUP(A274,'Change in Proportion Layers'!$A$8:$V$321,6,FALSE)+VLOOKUP(A274,'Change in Proportion Layers'!$A$8:$V$321,13,FALSE)</f>
        <v>-5786</v>
      </c>
      <c r="U274" s="246">
        <f>+O274+VLOOKUP(A274,'Change in Proportion Layers'!$A$8:$V$321,7,FALSE)</f>
        <v>1886</v>
      </c>
      <c r="W274" s="246">
        <f>('OPEB Amounts_Report'!G274-'OPEB Amounts_Report'!M274)</f>
        <v>-64244</v>
      </c>
      <c r="X274" s="282">
        <f>SUM(Q274:U274)-('OPEB Amounts_Report'!G274-'OPEB Amounts_Report'!M274)</f>
        <v>0</v>
      </c>
    </row>
    <row r="275" spans="1:24" s="8" customFormat="1">
      <c r="A275" s="237">
        <v>3330</v>
      </c>
      <c r="B275" s="238" t="s">
        <v>260</v>
      </c>
      <c r="C275" s="48">
        <f t="shared" si="30"/>
        <v>-371275</v>
      </c>
      <c r="D275" s="48">
        <f t="shared" si="31"/>
        <v>-206113</v>
      </c>
      <c r="E275" s="48">
        <f t="shared" si="32"/>
        <v>-82023</v>
      </c>
      <c r="F275" s="48">
        <f t="shared" si="33"/>
        <v>20812</v>
      </c>
      <c r="G275" s="48">
        <f t="shared" si="34"/>
        <v>-79737</v>
      </c>
      <c r="I275" s="51"/>
      <c r="K275" s="156">
        <f>ROUND(VLOOKUP($A275,'Contribution Allocation_Report'!$A$9:$D$310,4,FALSE)*$K$323,0)</f>
        <v>-425494</v>
      </c>
      <c r="L275" s="156">
        <f>ROUND(VLOOKUP($A275,'Contribution Allocation_Report'!$A$9:$D$310,4,FALSE)*$L$323,0)</f>
        <v>-267766</v>
      </c>
      <c r="M275" s="156">
        <f>ROUND(VLOOKUP($A275,'Contribution Allocation_Report'!$A$9:$D$310,4,FALSE)*$M$323,0)</f>
        <v>-152140</v>
      </c>
      <c r="N275" s="156">
        <f>ROUND(VLOOKUP($A275,'Contribution Allocation_Report'!$A$9:$D$310,4,FALSE)*$N$323,0)</f>
        <v>-30253</v>
      </c>
      <c r="O275" s="246">
        <f>ROUND(VLOOKUP($A275,'Contribution Allocation_Report'!$A$9:$D$310,4,FALSE)*$O$323,0)</f>
        <v>-124422</v>
      </c>
      <c r="Q275" s="246">
        <f>+K275+VLOOKUP(A275,'Change in Proportion Layers'!$A$8:$I$321,3,FALSE)+VLOOKUP(A275,'Change in Proportion Layers'!$A$8:$V$321,10,FALSE)+VLOOKUP(A275,'Change in Proportion Layers'!$A$8:$V$321,16,FALSE)+VLOOKUP(A275,'Change in Proportion Layers'!$A$8:$V$321,21,FALSE)</f>
        <v>-371275</v>
      </c>
      <c r="R275" s="246">
        <f>+L275+VLOOKUP(A275,'Change in Proportion Layers'!$A$8:$V$321,4,FALSE)+VLOOKUP(A275,'Change in Proportion Layers'!$A$8:$V$321,11,FALSE)+VLOOKUP(A275,'Change in Proportion Layers'!$A$8:$V$321,17,FALSE)+VLOOKUP(A275,'Change in Proportion Layers'!$A$8:$V$321,22,FALSE)</f>
        <v>-206113</v>
      </c>
      <c r="S275" s="246">
        <f>+M275+VLOOKUP(A275,'Change in Proportion Layers'!$A$8:$V$321,5,FALSE)+VLOOKUP(A275,'Change in Proportion Layers'!$A$8:$V$321,12,FALSE)+VLOOKUP(A275,'Change in Proportion Layers'!$A$8:$V$321,18,FALSE)</f>
        <v>-82023</v>
      </c>
      <c r="T275" s="246">
        <f>+N275+VLOOKUP(A275,'Change in Proportion Layers'!$A$8:$V$321,6,FALSE)+VLOOKUP(A275,'Change in Proportion Layers'!$A$8:$V$321,13,FALSE)</f>
        <v>20812</v>
      </c>
      <c r="U275" s="246">
        <f>+O275+VLOOKUP(A275,'Change in Proportion Layers'!$A$8:$V$321,7,FALSE)</f>
        <v>-79737</v>
      </c>
      <c r="W275" s="246">
        <f>('OPEB Amounts_Report'!G275-'OPEB Amounts_Report'!M275)</f>
        <v>-718336</v>
      </c>
      <c r="X275" s="282">
        <f>SUM(Q275:U275)-('OPEB Amounts_Report'!G275-'OPEB Amounts_Report'!M275)</f>
        <v>0</v>
      </c>
    </row>
    <row r="276" spans="1:24" s="8" customFormat="1">
      <c r="A276" s="235">
        <v>2080</v>
      </c>
      <c r="B276" s="236" t="s">
        <v>261</v>
      </c>
      <c r="C276" s="245">
        <f t="shared" si="30"/>
        <v>-402700</v>
      </c>
      <c r="D276" s="245">
        <f t="shared" si="31"/>
        <v>-228610</v>
      </c>
      <c r="E276" s="245">
        <f t="shared" si="32"/>
        <v>-138735</v>
      </c>
      <c r="F276" s="245">
        <f t="shared" si="33"/>
        <v>-48054</v>
      </c>
      <c r="G276" s="245">
        <f t="shared" si="34"/>
        <v>-180303</v>
      </c>
      <c r="I276" s="51"/>
      <c r="K276" s="156">
        <f>ROUND(VLOOKUP($A276,'Contribution Allocation_Report'!$A$9:$D$310,4,FALSE)*$K$323,0)</f>
        <v>-485495</v>
      </c>
      <c r="L276" s="156">
        <f>ROUND(VLOOKUP($A276,'Contribution Allocation_Report'!$A$9:$D$310,4,FALSE)*$L$323,0)</f>
        <v>-305525</v>
      </c>
      <c r="M276" s="156">
        <f>ROUND(VLOOKUP($A276,'Contribution Allocation_Report'!$A$9:$D$310,4,FALSE)*$M$323,0)</f>
        <v>-173594</v>
      </c>
      <c r="N276" s="156">
        <f>ROUND(VLOOKUP($A276,'Contribution Allocation_Report'!$A$9:$D$310,4,FALSE)*$N$323,0)</f>
        <v>-34519</v>
      </c>
      <c r="O276" s="246">
        <f>ROUND(VLOOKUP($A276,'Contribution Allocation_Report'!$A$9:$D$310,4,FALSE)*$O$323,0)</f>
        <v>-141968</v>
      </c>
      <c r="Q276" s="246">
        <f>+K276+VLOOKUP(A276,'Change in Proportion Layers'!$A$8:$I$321,3,FALSE)+VLOOKUP(A276,'Change in Proportion Layers'!$A$8:$V$321,10,FALSE)+VLOOKUP(A276,'Change in Proportion Layers'!$A$8:$V$321,16,FALSE)+VLOOKUP(A276,'Change in Proportion Layers'!$A$8:$V$321,21,FALSE)</f>
        <v>-402700</v>
      </c>
      <c r="R276" s="246">
        <f>+L276+VLOOKUP(A276,'Change in Proportion Layers'!$A$8:$V$321,4,FALSE)+VLOOKUP(A276,'Change in Proportion Layers'!$A$8:$V$321,11,FALSE)+VLOOKUP(A276,'Change in Proportion Layers'!$A$8:$V$321,17,FALSE)+VLOOKUP(A276,'Change in Proportion Layers'!$A$8:$V$321,22,FALSE)</f>
        <v>-228610</v>
      </c>
      <c r="S276" s="246">
        <f>+M276+VLOOKUP(A276,'Change in Proportion Layers'!$A$8:$V$321,5,FALSE)+VLOOKUP(A276,'Change in Proportion Layers'!$A$8:$V$321,12,FALSE)+VLOOKUP(A276,'Change in Proportion Layers'!$A$8:$V$321,18,FALSE)</f>
        <v>-138735</v>
      </c>
      <c r="T276" s="246">
        <f>+N276+VLOOKUP(A276,'Change in Proportion Layers'!$A$8:$V$321,6,FALSE)+VLOOKUP(A276,'Change in Proportion Layers'!$A$8:$V$321,13,FALSE)</f>
        <v>-48054</v>
      </c>
      <c r="U276" s="246">
        <f>+O276+VLOOKUP(A276,'Change in Proportion Layers'!$A$8:$V$321,7,FALSE)</f>
        <v>-180303</v>
      </c>
      <c r="W276" s="246">
        <f>('OPEB Amounts_Report'!G276-'OPEB Amounts_Report'!M276)</f>
        <v>-998402</v>
      </c>
      <c r="X276" s="282">
        <f>SUM(Q276:U276)-('OPEB Amounts_Report'!G276-'OPEB Amounts_Report'!M276)</f>
        <v>0</v>
      </c>
    </row>
    <row r="277" spans="1:24" s="8" customFormat="1">
      <c r="A277" s="237">
        <v>4290</v>
      </c>
      <c r="B277" s="238" t="s">
        <v>262</v>
      </c>
      <c r="C277" s="48">
        <f t="shared" si="30"/>
        <v>-94079</v>
      </c>
      <c r="D277" s="48">
        <f t="shared" si="31"/>
        <v>-43612</v>
      </c>
      <c r="E277" s="48">
        <f t="shared" si="32"/>
        <v>-35899</v>
      </c>
      <c r="F277" s="48">
        <f t="shared" si="33"/>
        <v>-13482</v>
      </c>
      <c r="G277" s="48">
        <f t="shared" si="34"/>
        <v>-46332</v>
      </c>
      <c r="I277" s="51"/>
      <c r="K277" s="156">
        <f>ROUND(VLOOKUP($A277,'Contribution Allocation_Report'!$A$9:$D$310,4,FALSE)*$K$323,0)</f>
        <v>-159801</v>
      </c>
      <c r="L277" s="156">
        <f>ROUND(VLOOKUP($A277,'Contribution Allocation_Report'!$A$9:$D$310,4,FALSE)*$L$323,0)</f>
        <v>-100563</v>
      </c>
      <c r="M277" s="156">
        <f>ROUND(VLOOKUP($A277,'Contribution Allocation_Report'!$A$9:$D$310,4,FALSE)*$M$323,0)</f>
        <v>-57138</v>
      </c>
      <c r="N277" s="156">
        <f>ROUND(VLOOKUP($A277,'Contribution Allocation_Report'!$A$9:$D$310,4,FALSE)*$N$323,0)</f>
        <v>-11362</v>
      </c>
      <c r="O277" s="246">
        <f>ROUND(VLOOKUP($A277,'Contribution Allocation_Report'!$A$9:$D$310,4,FALSE)*$O$323,0)</f>
        <v>-46729</v>
      </c>
      <c r="Q277" s="246">
        <f>+K277+VLOOKUP(A277,'Change in Proportion Layers'!$A$8:$I$321,3,FALSE)+VLOOKUP(A277,'Change in Proportion Layers'!$A$8:$V$321,10,FALSE)+VLOOKUP(A277,'Change in Proportion Layers'!$A$8:$V$321,16,FALSE)+VLOOKUP(A277,'Change in Proportion Layers'!$A$8:$V$321,21,FALSE)</f>
        <v>-94079</v>
      </c>
      <c r="R277" s="246">
        <f>+L277+VLOOKUP(A277,'Change in Proportion Layers'!$A$8:$V$321,4,FALSE)+VLOOKUP(A277,'Change in Proportion Layers'!$A$8:$V$321,11,FALSE)+VLOOKUP(A277,'Change in Proportion Layers'!$A$8:$V$321,17,FALSE)+VLOOKUP(A277,'Change in Proportion Layers'!$A$8:$V$321,22,FALSE)</f>
        <v>-43612</v>
      </c>
      <c r="S277" s="246">
        <f>+M277+VLOOKUP(A277,'Change in Proportion Layers'!$A$8:$V$321,5,FALSE)+VLOOKUP(A277,'Change in Proportion Layers'!$A$8:$V$321,12,FALSE)+VLOOKUP(A277,'Change in Proportion Layers'!$A$8:$V$321,18,FALSE)</f>
        <v>-35899</v>
      </c>
      <c r="T277" s="246">
        <f>+N277+VLOOKUP(A277,'Change in Proportion Layers'!$A$8:$V$321,6,FALSE)+VLOOKUP(A277,'Change in Proportion Layers'!$A$8:$V$321,13,FALSE)</f>
        <v>-13482</v>
      </c>
      <c r="U277" s="246">
        <f>+O277+VLOOKUP(A277,'Change in Proportion Layers'!$A$8:$V$321,7,FALSE)</f>
        <v>-46332</v>
      </c>
      <c r="W277" s="246">
        <f>('OPEB Amounts_Report'!G277-'OPEB Amounts_Report'!M277)</f>
        <v>-233404</v>
      </c>
      <c r="X277" s="282">
        <f>SUM(Q277:U277)-('OPEB Amounts_Report'!G277-'OPEB Amounts_Report'!M277)</f>
        <v>0</v>
      </c>
    </row>
    <row r="278" spans="1:24" s="8" customFormat="1">
      <c r="A278" s="235">
        <v>2270</v>
      </c>
      <c r="B278" s="236" t="s">
        <v>263</v>
      </c>
      <c r="C278" s="245">
        <f t="shared" si="30"/>
        <v>-15586</v>
      </c>
      <c r="D278" s="245">
        <f t="shared" si="31"/>
        <v>-13085</v>
      </c>
      <c r="E278" s="245">
        <f t="shared" si="32"/>
        <v>-13309</v>
      </c>
      <c r="F278" s="245">
        <f t="shared" si="33"/>
        <v>-11393</v>
      </c>
      <c r="G278" s="245">
        <f t="shared" si="34"/>
        <v>-7502</v>
      </c>
      <c r="I278" s="51"/>
      <c r="K278" s="156">
        <f>ROUND(VLOOKUP($A278,'Contribution Allocation_Report'!$A$9:$D$310,4,FALSE)*$K$323,0)</f>
        <v>-9094</v>
      </c>
      <c r="L278" s="156">
        <f>ROUND(VLOOKUP($A278,'Contribution Allocation_Report'!$A$9:$D$310,4,FALSE)*$L$323,0)</f>
        <v>-5723</v>
      </c>
      <c r="M278" s="156">
        <f>ROUND(VLOOKUP($A278,'Contribution Allocation_Report'!$A$9:$D$310,4,FALSE)*$M$323,0)</f>
        <v>-3252</v>
      </c>
      <c r="N278" s="156">
        <f>ROUND(VLOOKUP($A278,'Contribution Allocation_Report'!$A$9:$D$310,4,FALSE)*$N$323,0)</f>
        <v>-647</v>
      </c>
      <c r="O278" s="246">
        <f>ROUND(VLOOKUP($A278,'Contribution Allocation_Report'!$A$9:$D$310,4,FALSE)*$O$323,0)</f>
        <v>-2659</v>
      </c>
      <c r="Q278" s="246">
        <f>+K278+VLOOKUP(A278,'Change in Proportion Layers'!$A$8:$I$321,3,FALSE)+VLOOKUP(A278,'Change in Proportion Layers'!$A$8:$V$321,10,FALSE)+VLOOKUP(A278,'Change in Proportion Layers'!$A$8:$V$321,16,FALSE)+VLOOKUP(A278,'Change in Proportion Layers'!$A$8:$V$321,21,FALSE)</f>
        <v>-15586</v>
      </c>
      <c r="R278" s="246">
        <f>+L278+VLOOKUP(A278,'Change in Proportion Layers'!$A$8:$V$321,4,FALSE)+VLOOKUP(A278,'Change in Proportion Layers'!$A$8:$V$321,11,FALSE)+VLOOKUP(A278,'Change in Proportion Layers'!$A$8:$V$321,17,FALSE)+VLOOKUP(A278,'Change in Proportion Layers'!$A$8:$V$321,22,FALSE)</f>
        <v>-13085</v>
      </c>
      <c r="S278" s="246">
        <f>+M278+VLOOKUP(A278,'Change in Proportion Layers'!$A$8:$V$321,5,FALSE)+VLOOKUP(A278,'Change in Proportion Layers'!$A$8:$V$321,12,FALSE)+VLOOKUP(A278,'Change in Proportion Layers'!$A$8:$V$321,18,FALSE)</f>
        <v>-13309</v>
      </c>
      <c r="T278" s="246">
        <f>+N278+VLOOKUP(A278,'Change in Proportion Layers'!$A$8:$V$321,6,FALSE)+VLOOKUP(A278,'Change in Proportion Layers'!$A$8:$V$321,13,FALSE)</f>
        <v>-11393</v>
      </c>
      <c r="U278" s="246">
        <f>+O278+VLOOKUP(A278,'Change in Proportion Layers'!$A$8:$V$321,7,FALSE)</f>
        <v>-7502</v>
      </c>
      <c r="W278" s="246">
        <f>('OPEB Amounts_Report'!G278-'OPEB Amounts_Report'!M278)</f>
        <v>-60875</v>
      </c>
      <c r="X278" s="282">
        <f>SUM(Q278:U278)-('OPEB Amounts_Report'!G278-'OPEB Amounts_Report'!M278)</f>
        <v>0</v>
      </c>
    </row>
    <row r="279" spans="1:24" s="8" customFormat="1">
      <c r="A279" s="237">
        <v>2300</v>
      </c>
      <c r="B279" s="238" t="s">
        <v>264</v>
      </c>
      <c r="C279" s="48">
        <f t="shared" si="30"/>
        <v>-78222</v>
      </c>
      <c r="D279" s="48">
        <f t="shared" si="31"/>
        <v>-58535</v>
      </c>
      <c r="E279" s="48">
        <f t="shared" si="32"/>
        <v>-30858</v>
      </c>
      <c r="F279" s="48">
        <f t="shared" si="33"/>
        <v>-7434</v>
      </c>
      <c r="G279" s="48">
        <f t="shared" si="34"/>
        <v>-18654</v>
      </c>
      <c r="I279" s="51"/>
      <c r="K279" s="156">
        <f>ROUND(VLOOKUP($A279,'Contribution Allocation_Report'!$A$9:$D$310,4,FALSE)*$K$323,0)</f>
        <v>-42892</v>
      </c>
      <c r="L279" s="156">
        <f>ROUND(VLOOKUP($A279,'Contribution Allocation_Report'!$A$9:$D$310,4,FALSE)*$L$323,0)</f>
        <v>-26992</v>
      </c>
      <c r="M279" s="156">
        <f>ROUND(VLOOKUP($A279,'Contribution Allocation_Report'!$A$9:$D$310,4,FALSE)*$M$323,0)</f>
        <v>-15336</v>
      </c>
      <c r="N279" s="156">
        <f>ROUND(VLOOKUP($A279,'Contribution Allocation_Report'!$A$9:$D$310,4,FALSE)*$N$323,0)</f>
        <v>-3050</v>
      </c>
      <c r="O279" s="246">
        <f>ROUND(VLOOKUP($A279,'Contribution Allocation_Report'!$A$9:$D$310,4,FALSE)*$O$323,0)</f>
        <v>-12542</v>
      </c>
      <c r="Q279" s="246">
        <f>+K279+VLOOKUP(A279,'Change in Proportion Layers'!$A$8:$I$321,3,FALSE)+VLOOKUP(A279,'Change in Proportion Layers'!$A$8:$V$321,10,FALSE)+VLOOKUP(A279,'Change in Proportion Layers'!$A$8:$V$321,16,FALSE)+VLOOKUP(A279,'Change in Proportion Layers'!$A$8:$V$321,21,FALSE)</f>
        <v>-78222</v>
      </c>
      <c r="R279" s="246">
        <f>+L279+VLOOKUP(A279,'Change in Proportion Layers'!$A$8:$V$321,4,FALSE)+VLOOKUP(A279,'Change in Proportion Layers'!$A$8:$V$321,11,FALSE)+VLOOKUP(A279,'Change in Proportion Layers'!$A$8:$V$321,17,FALSE)+VLOOKUP(A279,'Change in Proportion Layers'!$A$8:$V$321,22,FALSE)</f>
        <v>-58535</v>
      </c>
      <c r="S279" s="246">
        <f>+M279+VLOOKUP(A279,'Change in Proportion Layers'!$A$8:$V$321,5,FALSE)+VLOOKUP(A279,'Change in Proportion Layers'!$A$8:$V$321,12,FALSE)+VLOOKUP(A279,'Change in Proportion Layers'!$A$8:$V$321,18,FALSE)</f>
        <v>-30858</v>
      </c>
      <c r="T279" s="246">
        <f>+N279+VLOOKUP(A279,'Change in Proportion Layers'!$A$8:$V$321,6,FALSE)+VLOOKUP(A279,'Change in Proportion Layers'!$A$8:$V$321,13,FALSE)</f>
        <v>-7434</v>
      </c>
      <c r="U279" s="246">
        <f>+O279+VLOOKUP(A279,'Change in Proportion Layers'!$A$8:$V$321,7,FALSE)</f>
        <v>-18654</v>
      </c>
      <c r="W279" s="246">
        <f>('OPEB Amounts_Report'!G279-'OPEB Amounts_Report'!M279)</f>
        <v>-193703</v>
      </c>
      <c r="X279" s="282">
        <f>SUM(Q279:U279)-('OPEB Amounts_Report'!G279-'OPEB Amounts_Report'!M279)</f>
        <v>0</v>
      </c>
    </row>
    <row r="280" spans="1:24" s="8" customFormat="1">
      <c r="A280" s="235">
        <v>2720</v>
      </c>
      <c r="B280" s="236" t="s">
        <v>265</v>
      </c>
      <c r="C280" s="245">
        <f t="shared" si="30"/>
        <v>-699506</v>
      </c>
      <c r="D280" s="245">
        <f t="shared" si="31"/>
        <v>-468943</v>
      </c>
      <c r="E280" s="245">
        <f t="shared" si="32"/>
        <v>-304065</v>
      </c>
      <c r="F280" s="245">
        <f t="shared" si="33"/>
        <v>-116055</v>
      </c>
      <c r="G280" s="245">
        <f t="shared" si="34"/>
        <v>-168139</v>
      </c>
      <c r="I280" s="51"/>
      <c r="K280" s="156">
        <f>ROUND(VLOOKUP($A280,'Contribution Allocation_Report'!$A$9:$D$310,4,FALSE)*$K$323,0)</f>
        <v>-632264</v>
      </c>
      <c r="L280" s="156">
        <f>ROUND(VLOOKUP($A280,'Contribution Allocation_Report'!$A$9:$D$310,4,FALSE)*$L$323,0)</f>
        <v>-397888</v>
      </c>
      <c r="M280" s="156">
        <f>ROUND(VLOOKUP($A280,'Contribution Allocation_Report'!$A$9:$D$310,4,FALSE)*$M$323,0)</f>
        <v>-226073</v>
      </c>
      <c r="N280" s="156">
        <f>ROUND(VLOOKUP($A280,'Contribution Allocation_Report'!$A$9:$D$310,4,FALSE)*$N$323,0)</f>
        <v>-44954</v>
      </c>
      <c r="O280" s="246">
        <f>ROUND(VLOOKUP($A280,'Contribution Allocation_Report'!$A$9:$D$310,4,FALSE)*$O$323,0)</f>
        <v>-184886</v>
      </c>
      <c r="Q280" s="246">
        <f>+K280+VLOOKUP(A280,'Change in Proportion Layers'!$A$8:$I$321,3,FALSE)+VLOOKUP(A280,'Change in Proportion Layers'!$A$8:$V$321,10,FALSE)+VLOOKUP(A280,'Change in Proportion Layers'!$A$8:$V$321,16,FALSE)+VLOOKUP(A280,'Change in Proportion Layers'!$A$8:$V$321,21,FALSE)</f>
        <v>-699506</v>
      </c>
      <c r="R280" s="246">
        <f>+L280+VLOOKUP(A280,'Change in Proportion Layers'!$A$8:$V$321,4,FALSE)+VLOOKUP(A280,'Change in Proportion Layers'!$A$8:$V$321,11,FALSE)+VLOOKUP(A280,'Change in Proportion Layers'!$A$8:$V$321,17,FALSE)+VLOOKUP(A280,'Change in Proportion Layers'!$A$8:$V$321,22,FALSE)</f>
        <v>-468943</v>
      </c>
      <c r="S280" s="246">
        <f>+M280+VLOOKUP(A280,'Change in Proportion Layers'!$A$8:$V$321,5,FALSE)+VLOOKUP(A280,'Change in Proportion Layers'!$A$8:$V$321,12,FALSE)+VLOOKUP(A280,'Change in Proportion Layers'!$A$8:$V$321,18,FALSE)</f>
        <v>-304065</v>
      </c>
      <c r="T280" s="246">
        <f>+N280+VLOOKUP(A280,'Change in Proportion Layers'!$A$8:$V$321,6,FALSE)+VLOOKUP(A280,'Change in Proportion Layers'!$A$8:$V$321,13,FALSE)</f>
        <v>-116055</v>
      </c>
      <c r="U280" s="246">
        <f>+O280+VLOOKUP(A280,'Change in Proportion Layers'!$A$8:$V$321,7,FALSE)+1</f>
        <v>-168139</v>
      </c>
      <c r="W280" s="246">
        <f>('OPEB Amounts_Report'!G280-'OPEB Amounts_Report'!M280)</f>
        <v>-1756708</v>
      </c>
      <c r="X280" s="282">
        <f>SUM(Q280:U280)-('OPEB Amounts_Report'!G280-'OPEB Amounts_Report'!M280)</f>
        <v>0</v>
      </c>
    </row>
    <row r="281" spans="1:24" s="8" customFormat="1">
      <c r="A281" s="237">
        <v>2750</v>
      </c>
      <c r="B281" s="238" t="s">
        <v>266</v>
      </c>
      <c r="C281" s="48">
        <f t="shared" si="30"/>
        <v>-52343</v>
      </c>
      <c r="D281" s="48">
        <f t="shared" si="31"/>
        <v>-36360</v>
      </c>
      <c r="E281" s="48">
        <f t="shared" si="32"/>
        <v>-21599</v>
      </c>
      <c r="F281" s="48">
        <f t="shared" si="33"/>
        <v>-6220</v>
      </c>
      <c r="G281" s="48">
        <f t="shared" si="34"/>
        <v>-18907</v>
      </c>
      <c r="I281" s="51"/>
      <c r="K281" s="156">
        <f>ROUND(VLOOKUP($A281,'Contribution Allocation_Report'!$A$9:$D$310,4,FALSE)*$K$323,0)</f>
        <v>-41579</v>
      </c>
      <c r="L281" s="156">
        <f>ROUND(VLOOKUP($A281,'Contribution Allocation_Report'!$A$9:$D$310,4,FALSE)*$L$323,0)</f>
        <v>-26166</v>
      </c>
      <c r="M281" s="156">
        <f>ROUND(VLOOKUP($A281,'Contribution Allocation_Report'!$A$9:$D$310,4,FALSE)*$M$323,0)</f>
        <v>-14867</v>
      </c>
      <c r="N281" s="156">
        <f>ROUND(VLOOKUP($A281,'Contribution Allocation_Report'!$A$9:$D$310,4,FALSE)*$N$323,0)</f>
        <v>-2956</v>
      </c>
      <c r="O281" s="246">
        <f>ROUND(VLOOKUP($A281,'Contribution Allocation_Report'!$A$9:$D$310,4,FALSE)*$O$323,0)</f>
        <v>-12158</v>
      </c>
      <c r="Q281" s="246">
        <f>+K281+VLOOKUP(A281,'Change in Proportion Layers'!$A$8:$I$321,3,FALSE)+VLOOKUP(A281,'Change in Proportion Layers'!$A$8:$V$321,10,FALSE)+VLOOKUP(A281,'Change in Proportion Layers'!$A$8:$V$321,16,FALSE)+VLOOKUP(A281,'Change in Proportion Layers'!$A$8:$V$321,21,FALSE)</f>
        <v>-52343</v>
      </c>
      <c r="R281" s="246">
        <f>+L281+VLOOKUP(A281,'Change in Proportion Layers'!$A$8:$V$321,4,FALSE)+VLOOKUP(A281,'Change in Proportion Layers'!$A$8:$V$321,11,FALSE)+VLOOKUP(A281,'Change in Proportion Layers'!$A$8:$V$321,17,FALSE)+VLOOKUP(A281,'Change in Proportion Layers'!$A$8:$V$321,22,FALSE)</f>
        <v>-36360</v>
      </c>
      <c r="S281" s="246">
        <f>+M281+VLOOKUP(A281,'Change in Proportion Layers'!$A$8:$V$321,5,FALSE)+VLOOKUP(A281,'Change in Proportion Layers'!$A$8:$V$321,12,FALSE)+VLOOKUP(A281,'Change in Proportion Layers'!$A$8:$V$321,18,FALSE)</f>
        <v>-21599</v>
      </c>
      <c r="T281" s="246">
        <f>+N281+VLOOKUP(A281,'Change in Proportion Layers'!$A$8:$V$321,6,FALSE)+VLOOKUP(A281,'Change in Proportion Layers'!$A$8:$V$321,13,FALSE)</f>
        <v>-6220</v>
      </c>
      <c r="U281" s="246">
        <f>+O281+VLOOKUP(A281,'Change in Proportion Layers'!$A$8:$V$321,7,FALSE)-2</f>
        <v>-18907</v>
      </c>
      <c r="W281" s="246">
        <f>('OPEB Amounts_Report'!G281-'OPEB Amounts_Report'!M281)</f>
        <v>-135429</v>
      </c>
      <c r="X281" s="282">
        <f>SUM(Q281:U281)-('OPEB Amounts_Report'!G281-'OPEB Amounts_Report'!M281)</f>
        <v>0</v>
      </c>
    </row>
    <row r="282" spans="1:24" s="8" customFormat="1">
      <c r="A282" s="235">
        <v>2770</v>
      </c>
      <c r="B282" s="236" t="s">
        <v>267</v>
      </c>
      <c r="C282" s="245">
        <f t="shared" si="30"/>
        <v>-687463</v>
      </c>
      <c r="D282" s="245">
        <f t="shared" si="31"/>
        <v>-517212</v>
      </c>
      <c r="E282" s="245">
        <f t="shared" si="32"/>
        <v>-384718</v>
      </c>
      <c r="F282" s="245">
        <f t="shared" si="33"/>
        <v>-196468</v>
      </c>
      <c r="G282" s="245">
        <f t="shared" si="34"/>
        <v>-195922</v>
      </c>
      <c r="I282" s="51"/>
      <c r="K282" s="156">
        <f>ROUND(VLOOKUP($A282,'Contribution Allocation_Report'!$A$9:$D$310,4,FALSE)*$K$323,0)</f>
        <v>-486527</v>
      </c>
      <c r="L282" s="156">
        <f>ROUND(VLOOKUP($A282,'Contribution Allocation_Report'!$A$9:$D$310,4,FALSE)*$L$323,0)</f>
        <v>-306174</v>
      </c>
      <c r="M282" s="156">
        <f>ROUND(VLOOKUP($A282,'Contribution Allocation_Report'!$A$9:$D$310,4,FALSE)*$M$323,0)</f>
        <v>-173963</v>
      </c>
      <c r="N282" s="156">
        <f>ROUND(VLOOKUP($A282,'Contribution Allocation_Report'!$A$9:$D$310,4,FALSE)*$N$323,0)</f>
        <v>-34592</v>
      </c>
      <c r="O282" s="246">
        <f>ROUND(VLOOKUP($A282,'Contribution Allocation_Report'!$A$9:$D$310,4,FALSE)*$O$323,0)</f>
        <v>-142269</v>
      </c>
      <c r="Q282" s="246">
        <f>+K282+VLOOKUP(A282,'Change in Proportion Layers'!$A$8:$I$321,3,FALSE)+VLOOKUP(A282,'Change in Proportion Layers'!$A$8:$V$321,10,FALSE)+VLOOKUP(A282,'Change in Proportion Layers'!$A$8:$V$321,16,FALSE)+VLOOKUP(A282,'Change in Proportion Layers'!$A$8:$V$321,21,FALSE)</f>
        <v>-687463</v>
      </c>
      <c r="R282" s="246">
        <f>+L282+VLOOKUP(A282,'Change in Proportion Layers'!$A$8:$V$321,4,FALSE)+VLOOKUP(A282,'Change in Proportion Layers'!$A$8:$V$321,11,FALSE)+VLOOKUP(A282,'Change in Proportion Layers'!$A$8:$V$321,17,FALSE)+VLOOKUP(A282,'Change in Proportion Layers'!$A$8:$V$321,22,FALSE)</f>
        <v>-517212</v>
      </c>
      <c r="S282" s="246">
        <f>+M282+VLOOKUP(A282,'Change in Proportion Layers'!$A$8:$V$321,5,FALSE)+VLOOKUP(A282,'Change in Proportion Layers'!$A$8:$V$321,12,FALSE)+VLOOKUP(A282,'Change in Proportion Layers'!$A$8:$V$321,18,FALSE)</f>
        <v>-384718</v>
      </c>
      <c r="T282" s="246">
        <f>+N282+VLOOKUP(A282,'Change in Proportion Layers'!$A$8:$V$321,6,FALSE)+VLOOKUP(A282,'Change in Proportion Layers'!$A$8:$V$321,13,FALSE)</f>
        <v>-196468</v>
      </c>
      <c r="U282" s="246">
        <f>+O282+VLOOKUP(A282,'Change in Proportion Layers'!$A$8:$V$321,7,FALSE)</f>
        <v>-195922</v>
      </c>
      <c r="W282" s="246">
        <f>('OPEB Amounts_Report'!G282-'OPEB Amounts_Report'!M282)</f>
        <v>-1981783</v>
      </c>
      <c r="X282" s="282">
        <f>SUM(Q282:U282)-('OPEB Amounts_Report'!G282-'OPEB Amounts_Report'!M282)</f>
        <v>0</v>
      </c>
    </row>
    <row r="283" spans="1:24" s="8" customFormat="1">
      <c r="A283" s="237">
        <v>32106</v>
      </c>
      <c r="B283" s="238" t="s">
        <v>268</v>
      </c>
      <c r="C283" s="48">
        <f t="shared" si="30"/>
        <v>-1270</v>
      </c>
      <c r="D283" s="48">
        <f t="shared" si="31"/>
        <v>18049</v>
      </c>
      <c r="E283" s="48">
        <f t="shared" si="32"/>
        <v>5528</v>
      </c>
      <c r="F283" s="48">
        <f t="shared" si="33"/>
        <v>7986</v>
      </c>
      <c r="G283" s="48">
        <f t="shared" si="34"/>
        <v>10951</v>
      </c>
      <c r="I283" s="51"/>
      <c r="K283" s="156">
        <f>ROUND(VLOOKUP($A283,'Contribution Allocation_Report'!$A$9:$D$310,4,FALSE)*$K$323,0)</f>
        <v>-75189</v>
      </c>
      <c r="L283" s="156">
        <f>ROUND(VLOOKUP($A283,'Contribution Allocation_Report'!$A$9:$D$310,4,FALSE)*$L$323,0)</f>
        <v>-47317</v>
      </c>
      <c r="M283" s="156">
        <f>ROUND(VLOOKUP($A283,'Contribution Allocation_Report'!$A$9:$D$310,4,FALSE)*$M$323,0)</f>
        <v>-26885</v>
      </c>
      <c r="N283" s="156">
        <f>ROUND(VLOOKUP($A283,'Contribution Allocation_Report'!$A$9:$D$310,4,FALSE)*$N$323,0)</f>
        <v>-5346</v>
      </c>
      <c r="O283" s="246">
        <f>ROUND(VLOOKUP($A283,'Contribution Allocation_Report'!$A$9:$D$310,4,FALSE)*$O$323,0)</f>
        <v>-21987</v>
      </c>
      <c r="Q283" s="246">
        <f>+K283+VLOOKUP(A283,'Change in Proportion Layers'!$A$8:$I$321,3,FALSE)+VLOOKUP(A283,'Change in Proportion Layers'!$A$8:$V$321,10,FALSE)+VLOOKUP(A283,'Change in Proportion Layers'!$A$8:$V$321,16,FALSE)+VLOOKUP(A283,'Change in Proportion Layers'!$A$8:$V$321,21,FALSE)</f>
        <v>-1270</v>
      </c>
      <c r="R283" s="246">
        <f>+L283+VLOOKUP(A283,'Change in Proportion Layers'!$A$8:$V$321,4,FALSE)+VLOOKUP(A283,'Change in Proportion Layers'!$A$8:$V$321,11,FALSE)+VLOOKUP(A283,'Change in Proportion Layers'!$A$8:$V$321,17,FALSE)+VLOOKUP(A283,'Change in Proportion Layers'!$A$8:$V$321,22,FALSE)</f>
        <v>18049</v>
      </c>
      <c r="S283" s="246">
        <f>+M283+VLOOKUP(A283,'Change in Proportion Layers'!$A$8:$V$321,5,FALSE)+VLOOKUP(A283,'Change in Proportion Layers'!$A$8:$V$321,12,FALSE)+VLOOKUP(A283,'Change in Proportion Layers'!$A$8:$V$321,18,FALSE)</f>
        <v>5528</v>
      </c>
      <c r="T283" s="246">
        <f>+N283+VLOOKUP(A283,'Change in Proportion Layers'!$A$8:$V$321,6,FALSE)+VLOOKUP(A283,'Change in Proportion Layers'!$A$8:$V$321,13,FALSE)</f>
        <v>7986</v>
      </c>
      <c r="U283" s="246">
        <f>+O283+VLOOKUP(A283,'Change in Proportion Layers'!$A$8:$V$321,7,FALSE)+1</f>
        <v>10951</v>
      </c>
      <c r="W283" s="246">
        <f>('OPEB Amounts_Report'!G283-'OPEB Amounts_Report'!M283)</f>
        <v>41244</v>
      </c>
      <c r="X283" s="282">
        <f>SUM(Q283:U283)-('OPEB Amounts_Report'!G283-'OPEB Amounts_Report'!M283)</f>
        <v>0</v>
      </c>
    </row>
    <row r="284" spans="1:24" s="8" customFormat="1">
      <c r="A284" s="235">
        <v>4180</v>
      </c>
      <c r="B284" s="236" t="s">
        <v>269</v>
      </c>
      <c r="C284" s="245">
        <f t="shared" si="30"/>
        <v>-62191</v>
      </c>
      <c r="D284" s="245">
        <f t="shared" si="31"/>
        <v>-34671</v>
      </c>
      <c r="E284" s="245">
        <f t="shared" si="32"/>
        <v>-16547</v>
      </c>
      <c r="F284" s="245">
        <f t="shared" si="33"/>
        <v>737</v>
      </c>
      <c r="G284" s="245">
        <f t="shared" si="34"/>
        <v>-5095</v>
      </c>
      <c r="I284" s="51"/>
      <c r="K284" s="156">
        <f>ROUND(VLOOKUP($A284,'Contribution Allocation_Report'!$A$9:$D$310,4,FALSE)*$K$323,0)</f>
        <v>-73877</v>
      </c>
      <c r="L284" s="156">
        <f>ROUND(VLOOKUP($A284,'Contribution Allocation_Report'!$A$9:$D$310,4,FALSE)*$L$323,0)</f>
        <v>-46491</v>
      </c>
      <c r="M284" s="156">
        <f>ROUND(VLOOKUP($A284,'Contribution Allocation_Report'!$A$9:$D$310,4,FALSE)*$M$323,0)</f>
        <v>-26415</v>
      </c>
      <c r="N284" s="156">
        <f>ROUND(VLOOKUP($A284,'Contribution Allocation_Report'!$A$9:$D$310,4,FALSE)*$N$323,0)</f>
        <v>-5253</v>
      </c>
      <c r="O284" s="246">
        <f>ROUND(VLOOKUP($A284,'Contribution Allocation_Report'!$A$9:$D$310,4,FALSE)*$O$323,0)</f>
        <v>-21603</v>
      </c>
      <c r="Q284" s="246">
        <f>+K284+VLOOKUP(A284,'Change in Proportion Layers'!$A$8:$I$321,3,FALSE)+VLOOKUP(A284,'Change in Proportion Layers'!$A$8:$V$321,10,FALSE)+VLOOKUP(A284,'Change in Proportion Layers'!$A$8:$V$321,16,FALSE)+VLOOKUP(A284,'Change in Proportion Layers'!$A$8:$V$321,21,FALSE)</f>
        <v>-62191</v>
      </c>
      <c r="R284" s="246">
        <f>+L284+VLOOKUP(A284,'Change in Proportion Layers'!$A$8:$V$321,4,FALSE)+VLOOKUP(A284,'Change in Proportion Layers'!$A$8:$V$321,11,FALSE)+VLOOKUP(A284,'Change in Proportion Layers'!$A$8:$V$321,17,FALSE)+VLOOKUP(A284,'Change in Proportion Layers'!$A$8:$V$321,22,FALSE)</f>
        <v>-34671</v>
      </c>
      <c r="S284" s="246">
        <f>+M284+VLOOKUP(A284,'Change in Proportion Layers'!$A$8:$V$321,5,FALSE)+VLOOKUP(A284,'Change in Proportion Layers'!$A$8:$V$321,12,FALSE)+VLOOKUP(A284,'Change in Proportion Layers'!$A$8:$V$321,18,FALSE)</f>
        <v>-16547</v>
      </c>
      <c r="T284" s="246">
        <f>+N284+VLOOKUP(A284,'Change in Proportion Layers'!$A$8:$V$321,6,FALSE)+VLOOKUP(A284,'Change in Proportion Layers'!$A$8:$V$321,13,FALSE)</f>
        <v>737</v>
      </c>
      <c r="U284" s="246">
        <f>+O284+VLOOKUP(A284,'Change in Proportion Layers'!$A$8:$V$321,7,FALSE)</f>
        <v>-5095</v>
      </c>
      <c r="W284" s="246">
        <f>('OPEB Amounts_Report'!G284-'OPEB Amounts_Report'!M284)</f>
        <v>-117767</v>
      </c>
      <c r="X284" s="282">
        <f>SUM(Q284:U284)-('OPEB Amounts_Report'!G284-'OPEB Amounts_Report'!M284)</f>
        <v>0</v>
      </c>
    </row>
    <row r="285" spans="1:24" s="8" customFormat="1">
      <c r="A285" s="237">
        <v>21063</v>
      </c>
      <c r="B285" s="238" t="s">
        <v>270</v>
      </c>
      <c r="C285" s="48">
        <f t="shared" si="30"/>
        <v>-956306</v>
      </c>
      <c r="D285" s="48">
        <f t="shared" si="31"/>
        <v>-592094</v>
      </c>
      <c r="E285" s="48">
        <f t="shared" si="32"/>
        <v>-273906</v>
      </c>
      <c r="F285" s="48">
        <f t="shared" si="33"/>
        <v>-59097</v>
      </c>
      <c r="G285" s="48">
        <f t="shared" si="34"/>
        <v>-230404</v>
      </c>
      <c r="I285" s="51"/>
      <c r="K285" s="156">
        <f>ROUND(VLOOKUP($A285,'Contribution Allocation_Report'!$A$9:$D$310,4,FALSE)*$K$323,0)</f>
        <v>-876957</v>
      </c>
      <c r="L285" s="156">
        <f>ROUND(VLOOKUP($A285,'Contribution Allocation_Report'!$A$9:$D$310,4,FALSE)*$L$323,0)</f>
        <v>-551875</v>
      </c>
      <c r="M285" s="156">
        <f>ROUND(VLOOKUP($A285,'Contribution Allocation_Report'!$A$9:$D$310,4,FALSE)*$M$323,0)</f>
        <v>-313565</v>
      </c>
      <c r="N285" s="156">
        <f>ROUND(VLOOKUP($A285,'Contribution Allocation_Report'!$A$9:$D$310,4,FALSE)*$N$323,0)</f>
        <v>-62352</v>
      </c>
      <c r="O285" s="246">
        <f>ROUND(VLOOKUP($A285,'Contribution Allocation_Report'!$A$9:$D$310,4,FALSE)*$O$323,0)</f>
        <v>-256438</v>
      </c>
      <c r="Q285" s="246">
        <f>+K285+VLOOKUP(A285,'Change in Proportion Layers'!$A$8:$I$321,3,FALSE)+VLOOKUP(A285,'Change in Proportion Layers'!$A$8:$V$321,10,FALSE)+VLOOKUP(A285,'Change in Proportion Layers'!$A$8:$V$321,16,FALSE)+VLOOKUP(A285,'Change in Proportion Layers'!$A$8:$V$321,21,FALSE)</f>
        <v>-956306</v>
      </c>
      <c r="R285" s="246">
        <f>+L285+VLOOKUP(A285,'Change in Proportion Layers'!$A$8:$V$321,4,FALSE)+VLOOKUP(A285,'Change in Proportion Layers'!$A$8:$V$321,11,FALSE)+VLOOKUP(A285,'Change in Proportion Layers'!$A$8:$V$321,17,FALSE)+VLOOKUP(A285,'Change in Proportion Layers'!$A$8:$V$321,22,FALSE)</f>
        <v>-592094</v>
      </c>
      <c r="S285" s="246">
        <f>+M285+VLOOKUP(A285,'Change in Proportion Layers'!$A$8:$V$321,5,FALSE)+VLOOKUP(A285,'Change in Proportion Layers'!$A$8:$V$321,12,FALSE)+VLOOKUP(A285,'Change in Proportion Layers'!$A$8:$V$321,18,FALSE)</f>
        <v>-273906</v>
      </c>
      <c r="T285" s="246">
        <f>+N285+VLOOKUP(A285,'Change in Proportion Layers'!$A$8:$V$321,6,FALSE)+VLOOKUP(A285,'Change in Proportion Layers'!$A$8:$V$321,13,FALSE)</f>
        <v>-59097</v>
      </c>
      <c r="U285" s="246">
        <f>+O285+VLOOKUP(A285,'Change in Proportion Layers'!$A$8:$V$321,7,FALSE)-1</f>
        <v>-230404</v>
      </c>
      <c r="W285" s="246">
        <f>('OPEB Amounts_Report'!G285-'OPEB Amounts_Report'!M285)</f>
        <v>-2111807</v>
      </c>
      <c r="X285" s="282">
        <f>SUM(Q285:U285)-('OPEB Amounts_Report'!G285-'OPEB Amounts_Report'!M285)</f>
        <v>0</v>
      </c>
    </row>
    <row r="286" spans="1:24" s="8" customFormat="1">
      <c r="A286" s="235">
        <v>10033</v>
      </c>
      <c r="B286" s="236" t="s">
        <v>271</v>
      </c>
      <c r="C286" s="245">
        <f t="shared" si="30"/>
        <v>-643887</v>
      </c>
      <c r="D286" s="245">
        <f t="shared" si="31"/>
        <v>-413207</v>
      </c>
      <c r="E286" s="245">
        <f t="shared" si="32"/>
        <v>-234158</v>
      </c>
      <c r="F286" s="245">
        <f t="shared" si="33"/>
        <v>-39221</v>
      </c>
      <c r="G286" s="245">
        <f t="shared" si="34"/>
        <v>-156139</v>
      </c>
      <c r="I286" s="51"/>
      <c r="K286" s="156">
        <f>ROUND(VLOOKUP($A286,'Contribution Allocation_Report'!$A$9:$D$310,4,FALSE)*$K$323,0)</f>
        <v>-621342</v>
      </c>
      <c r="L286" s="156">
        <f>ROUND(VLOOKUP($A286,'Contribution Allocation_Report'!$A$9:$D$310,4,FALSE)*$L$323,0)</f>
        <v>-391014</v>
      </c>
      <c r="M286" s="156">
        <f>ROUND(VLOOKUP($A286,'Contribution Allocation_Report'!$A$9:$D$310,4,FALSE)*$M$323,0)</f>
        <v>-222167</v>
      </c>
      <c r="N286" s="156">
        <f>ROUND(VLOOKUP($A286,'Contribution Allocation_Report'!$A$9:$D$310,4,FALSE)*$N$323,0)</f>
        <v>-44177</v>
      </c>
      <c r="O286" s="246">
        <f>ROUND(VLOOKUP($A286,'Contribution Allocation_Report'!$A$9:$D$310,4,FALSE)*$O$323,0)</f>
        <v>-181692</v>
      </c>
      <c r="Q286" s="246">
        <f>+K286+VLOOKUP(A286,'Change in Proportion Layers'!$A$8:$I$321,3,FALSE)+VLOOKUP(A286,'Change in Proportion Layers'!$A$8:$V$321,10,FALSE)+VLOOKUP(A286,'Change in Proportion Layers'!$A$8:$V$321,16,FALSE)+VLOOKUP(A286,'Change in Proportion Layers'!$A$8:$V$321,21,FALSE)</f>
        <v>-643887</v>
      </c>
      <c r="R286" s="246">
        <f>+L286+VLOOKUP(A286,'Change in Proportion Layers'!$A$8:$V$321,4,FALSE)+VLOOKUP(A286,'Change in Proportion Layers'!$A$8:$V$321,11,FALSE)+VLOOKUP(A286,'Change in Proportion Layers'!$A$8:$V$321,17,FALSE)+VLOOKUP(A286,'Change in Proportion Layers'!$A$8:$V$321,22,FALSE)</f>
        <v>-413207</v>
      </c>
      <c r="S286" s="246">
        <f>+M286+VLOOKUP(A286,'Change in Proportion Layers'!$A$8:$V$321,5,FALSE)+VLOOKUP(A286,'Change in Proportion Layers'!$A$8:$V$321,12,FALSE)+VLOOKUP(A286,'Change in Proportion Layers'!$A$8:$V$321,18,FALSE)</f>
        <v>-234158</v>
      </c>
      <c r="T286" s="246">
        <f>+N286+VLOOKUP(A286,'Change in Proportion Layers'!$A$8:$V$321,6,FALSE)+VLOOKUP(A286,'Change in Proportion Layers'!$A$8:$V$321,13,FALSE)</f>
        <v>-39221</v>
      </c>
      <c r="U286" s="246">
        <f>+O286+VLOOKUP(A286,'Change in Proportion Layers'!$A$8:$V$321,7,FALSE)-2</f>
        <v>-156139</v>
      </c>
      <c r="W286" s="246">
        <f>('OPEB Amounts_Report'!G286-'OPEB Amounts_Report'!M286)</f>
        <v>-1486612</v>
      </c>
      <c r="X286" s="282">
        <f>SUM(Q286:U286)-('OPEB Amounts_Report'!G286-'OPEB Amounts_Report'!M286)</f>
        <v>0</v>
      </c>
    </row>
    <row r="287" spans="1:24" s="8" customFormat="1">
      <c r="A287" s="237">
        <v>15049</v>
      </c>
      <c r="B287" s="238" t="s">
        <v>272</v>
      </c>
      <c r="C287" s="48">
        <f t="shared" si="30"/>
        <v>-691832</v>
      </c>
      <c r="D287" s="48">
        <f t="shared" si="31"/>
        <v>-448067</v>
      </c>
      <c r="E287" s="48">
        <f t="shared" si="32"/>
        <v>-241814</v>
      </c>
      <c r="F287" s="48">
        <f t="shared" si="33"/>
        <v>-60504</v>
      </c>
      <c r="G287" s="48">
        <f t="shared" si="34"/>
        <v>-183118</v>
      </c>
      <c r="I287" s="51"/>
      <c r="K287" s="156">
        <f>ROUND(VLOOKUP($A287,'Contribution Allocation_Report'!$A$9:$D$310,4,FALSE)*$K$323,0)</f>
        <v>-619983</v>
      </c>
      <c r="L287" s="156">
        <f>ROUND(VLOOKUP($A287,'Contribution Allocation_Report'!$A$9:$D$310,4,FALSE)*$L$323,0)</f>
        <v>-390159</v>
      </c>
      <c r="M287" s="156">
        <f>ROUND(VLOOKUP($A287,'Contribution Allocation_Report'!$A$9:$D$310,4,FALSE)*$M$323,0)</f>
        <v>-221681</v>
      </c>
      <c r="N287" s="156">
        <f>ROUND(VLOOKUP($A287,'Contribution Allocation_Report'!$A$9:$D$310,4,FALSE)*$N$323,0)</f>
        <v>-44081</v>
      </c>
      <c r="O287" s="246">
        <f>ROUND(VLOOKUP($A287,'Contribution Allocation_Report'!$A$9:$D$310,4,FALSE)*$O$323,0)</f>
        <v>-181294</v>
      </c>
      <c r="Q287" s="246">
        <f>+K287+VLOOKUP(A287,'Change in Proportion Layers'!$A$8:$I$321,3,FALSE)+VLOOKUP(A287,'Change in Proportion Layers'!$A$8:$V$321,10,FALSE)+VLOOKUP(A287,'Change in Proportion Layers'!$A$8:$V$321,16,FALSE)+VLOOKUP(A287,'Change in Proportion Layers'!$A$8:$V$321,21,FALSE)</f>
        <v>-691832</v>
      </c>
      <c r="R287" s="246">
        <f>+L287+VLOOKUP(A287,'Change in Proportion Layers'!$A$8:$V$321,4,FALSE)+VLOOKUP(A287,'Change in Proportion Layers'!$A$8:$V$321,11,FALSE)+VLOOKUP(A287,'Change in Proportion Layers'!$A$8:$V$321,17,FALSE)+VLOOKUP(A287,'Change in Proportion Layers'!$A$8:$V$321,22,FALSE)</f>
        <v>-448067</v>
      </c>
      <c r="S287" s="246">
        <f>+M287+VLOOKUP(A287,'Change in Proportion Layers'!$A$8:$V$321,5,FALSE)+VLOOKUP(A287,'Change in Proportion Layers'!$A$8:$V$321,12,FALSE)+VLOOKUP(A287,'Change in Proportion Layers'!$A$8:$V$321,18,FALSE)</f>
        <v>-241814</v>
      </c>
      <c r="T287" s="246">
        <f>+N287+VLOOKUP(A287,'Change in Proportion Layers'!$A$8:$V$321,6,FALSE)+VLOOKUP(A287,'Change in Proportion Layers'!$A$8:$V$321,13,FALSE)</f>
        <v>-60504</v>
      </c>
      <c r="U287" s="246">
        <f>+O287+VLOOKUP(A287,'Change in Proportion Layers'!$A$8:$V$321,7,FALSE)</f>
        <v>-183118</v>
      </c>
      <c r="W287" s="246">
        <f>('OPEB Amounts_Report'!G287-'OPEB Amounts_Report'!M287)</f>
        <v>-1625335</v>
      </c>
      <c r="X287" s="282">
        <f>SUM(Q287:U287)-('OPEB Amounts_Report'!G287-'OPEB Amounts_Report'!M287)</f>
        <v>0</v>
      </c>
    </row>
    <row r="288" spans="1:24" s="8" customFormat="1">
      <c r="A288" s="235">
        <v>1315</v>
      </c>
      <c r="B288" s="236" t="s">
        <v>273</v>
      </c>
      <c r="C288" s="245">
        <f t="shared" si="30"/>
        <v>-134826</v>
      </c>
      <c r="D288" s="245">
        <f t="shared" si="31"/>
        <v>-9432</v>
      </c>
      <c r="E288" s="245">
        <f t="shared" si="32"/>
        <v>33688</v>
      </c>
      <c r="F288" s="245">
        <f t="shared" si="33"/>
        <v>73566</v>
      </c>
      <c r="G288" s="245">
        <f t="shared" si="34"/>
        <v>-70127</v>
      </c>
      <c r="I288" s="51"/>
      <c r="K288" s="156">
        <f>ROUND(VLOOKUP($A288,'Contribution Allocation_Report'!$A$9:$D$310,4,FALSE)*$K$323,0)</f>
        <v>-358977</v>
      </c>
      <c r="L288" s="156">
        <f>ROUND(VLOOKUP($A288,'Contribution Allocation_Report'!$A$9:$D$310,4,FALSE)*$L$323,0)</f>
        <v>-225906</v>
      </c>
      <c r="M288" s="156">
        <f>ROUND(VLOOKUP($A288,'Contribution Allocation_Report'!$A$9:$D$310,4,FALSE)*$M$323,0)</f>
        <v>-128356</v>
      </c>
      <c r="N288" s="156">
        <f>ROUND(VLOOKUP($A288,'Contribution Allocation_Report'!$A$9:$D$310,4,FALSE)*$N$323,0)</f>
        <v>-25523</v>
      </c>
      <c r="O288" s="246">
        <f>ROUND(VLOOKUP($A288,'Contribution Allocation_Report'!$A$9:$D$310,4,FALSE)*$O$323,0)</f>
        <v>-104971</v>
      </c>
      <c r="Q288" s="246">
        <f>+K288+VLOOKUP(A288,'Change in Proportion Layers'!$A$8:$I$321,3,FALSE)+VLOOKUP(A288,'Change in Proportion Layers'!$A$8:$V$321,10,FALSE)+VLOOKUP(A288,'Change in Proportion Layers'!$A$8:$V$321,16,FALSE)+VLOOKUP(A288,'Change in Proportion Layers'!$A$8:$V$321,21,FALSE)</f>
        <v>-134826</v>
      </c>
      <c r="R288" s="246">
        <f>+L288+VLOOKUP(A288,'Change in Proportion Layers'!$A$8:$V$321,4,FALSE)+VLOOKUP(A288,'Change in Proportion Layers'!$A$8:$V$321,11,FALSE)+VLOOKUP(A288,'Change in Proportion Layers'!$A$8:$V$321,17,FALSE)+VLOOKUP(A288,'Change in Proportion Layers'!$A$8:$V$321,22,FALSE)</f>
        <v>-9432</v>
      </c>
      <c r="S288" s="246">
        <f>+M288+VLOOKUP(A288,'Change in Proportion Layers'!$A$8:$V$321,5,FALSE)+VLOOKUP(A288,'Change in Proportion Layers'!$A$8:$V$321,12,FALSE)+VLOOKUP(A288,'Change in Proportion Layers'!$A$8:$V$321,18,FALSE)</f>
        <v>33688</v>
      </c>
      <c r="T288" s="246">
        <f>+N288+VLOOKUP(A288,'Change in Proportion Layers'!$A$8:$V$321,6,FALSE)+VLOOKUP(A288,'Change in Proportion Layers'!$A$8:$V$321,13,FALSE)</f>
        <v>73566</v>
      </c>
      <c r="U288" s="246">
        <f>+O288+VLOOKUP(A288,'Change in Proportion Layers'!$A$8:$V$321,7,FALSE)-1</f>
        <v>-70127</v>
      </c>
      <c r="W288" s="246">
        <f>('OPEB Amounts_Report'!G288-'OPEB Amounts_Report'!M288)</f>
        <v>-107131</v>
      </c>
      <c r="X288" s="282">
        <f>SUM(Q288:U288)-('OPEB Amounts_Report'!G288-'OPEB Amounts_Report'!M288)</f>
        <v>0</v>
      </c>
    </row>
    <row r="289" spans="1:24" s="8" customFormat="1">
      <c r="A289" s="237">
        <v>3340</v>
      </c>
      <c r="B289" s="238" t="s">
        <v>274</v>
      </c>
      <c r="C289" s="48">
        <f t="shared" si="30"/>
        <v>-180359</v>
      </c>
      <c r="D289" s="48">
        <f t="shared" si="31"/>
        <v>-118106</v>
      </c>
      <c r="E289" s="48">
        <f t="shared" si="32"/>
        <v>-69795</v>
      </c>
      <c r="F289" s="48">
        <f t="shared" si="33"/>
        <v>-27549</v>
      </c>
      <c r="G289" s="48">
        <f t="shared" si="34"/>
        <v>-28161</v>
      </c>
      <c r="I289" s="51"/>
      <c r="K289" s="156">
        <f>ROUND(VLOOKUP($A289,'Contribution Allocation_Report'!$A$9:$D$310,4,FALSE)*$K$323,0)</f>
        <v>-160363</v>
      </c>
      <c r="L289" s="156">
        <f>ROUND(VLOOKUP($A289,'Contribution Allocation_Report'!$A$9:$D$310,4,FALSE)*$L$323,0)</f>
        <v>-100917</v>
      </c>
      <c r="M289" s="156">
        <f>ROUND(VLOOKUP($A289,'Contribution Allocation_Report'!$A$9:$D$310,4,FALSE)*$M$323,0)</f>
        <v>-57339</v>
      </c>
      <c r="N289" s="156">
        <f>ROUND(VLOOKUP($A289,'Contribution Allocation_Report'!$A$9:$D$310,4,FALSE)*$N$323,0)</f>
        <v>-11402</v>
      </c>
      <c r="O289" s="246">
        <f>ROUND(VLOOKUP($A289,'Contribution Allocation_Report'!$A$9:$D$310,4,FALSE)*$O$323,0)</f>
        <v>-46893</v>
      </c>
      <c r="Q289" s="246">
        <f>+K289+VLOOKUP(A289,'Change in Proportion Layers'!$A$8:$I$321,3,FALSE)+VLOOKUP(A289,'Change in Proportion Layers'!$A$8:$V$321,10,FALSE)+VLOOKUP(A289,'Change in Proportion Layers'!$A$8:$V$321,16,FALSE)+VLOOKUP(A289,'Change in Proportion Layers'!$A$8:$V$321,21,FALSE)</f>
        <v>-180359</v>
      </c>
      <c r="R289" s="246">
        <f>+L289+VLOOKUP(A289,'Change in Proportion Layers'!$A$8:$V$321,4,FALSE)+VLOOKUP(A289,'Change in Proportion Layers'!$A$8:$V$321,11,FALSE)+VLOOKUP(A289,'Change in Proportion Layers'!$A$8:$V$321,17,FALSE)+VLOOKUP(A289,'Change in Proportion Layers'!$A$8:$V$321,22,FALSE)</f>
        <v>-118106</v>
      </c>
      <c r="S289" s="246">
        <f>+M289+VLOOKUP(A289,'Change in Proportion Layers'!$A$8:$V$321,5,FALSE)+VLOOKUP(A289,'Change in Proportion Layers'!$A$8:$V$321,12,FALSE)+VLOOKUP(A289,'Change in Proportion Layers'!$A$8:$V$321,18,FALSE)</f>
        <v>-69795</v>
      </c>
      <c r="T289" s="246">
        <f>+N289+VLOOKUP(A289,'Change in Proportion Layers'!$A$8:$V$321,6,FALSE)+VLOOKUP(A289,'Change in Proportion Layers'!$A$8:$V$321,13,FALSE)</f>
        <v>-27549</v>
      </c>
      <c r="U289" s="246">
        <f>+O289+VLOOKUP(A289,'Change in Proportion Layers'!$A$8:$V$321,7,FALSE)-1</f>
        <v>-28161</v>
      </c>
      <c r="W289" s="246">
        <f>('OPEB Amounts_Report'!G289-'OPEB Amounts_Report'!M289)</f>
        <v>-423970</v>
      </c>
      <c r="X289" s="282">
        <f>SUM(Q289:U289)-('OPEB Amounts_Report'!G289-'OPEB Amounts_Report'!M289)</f>
        <v>0</v>
      </c>
    </row>
    <row r="290" spans="1:24" s="8" customFormat="1">
      <c r="A290" s="235">
        <v>3350</v>
      </c>
      <c r="B290" s="236" t="s">
        <v>275</v>
      </c>
      <c r="C290" s="49">
        <f t="shared" si="30"/>
        <v>-1311874</v>
      </c>
      <c r="D290" s="49">
        <f t="shared" si="31"/>
        <v>-1023545</v>
      </c>
      <c r="E290" s="49">
        <f t="shared" si="32"/>
        <v>-745119</v>
      </c>
      <c r="F290" s="49">
        <f t="shared" si="33"/>
        <v>-372385</v>
      </c>
      <c r="G290" s="49">
        <f t="shared" si="34"/>
        <v>-520831</v>
      </c>
      <c r="I290" s="51"/>
      <c r="K290" s="156">
        <f>ROUND(VLOOKUP($A290,'Contribution Allocation_Report'!$A$9:$D$310,4,FALSE)*$K$323,0)</f>
        <v>-798018</v>
      </c>
      <c r="L290" s="156">
        <f>ROUND(VLOOKUP($A290,'Contribution Allocation_Report'!$A$9:$D$310,4,FALSE)*$L$323,0)</f>
        <v>-502198</v>
      </c>
      <c r="M290" s="156">
        <f>ROUND(VLOOKUP($A290,'Contribution Allocation_Report'!$A$9:$D$310,4,FALSE)*$M$323,0)</f>
        <v>-285340</v>
      </c>
      <c r="N290" s="156">
        <f>ROUND(VLOOKUP($A290,'Contribution Allocation_Report'!$A$9:$D$310,4,FALSE)*$N$323,0)</f>
        <v>-56739</v>
      </c>
      <c r="O290" s="246">
        <f>ROUND(VLOOKUP($A290,'Contribution Allocation_Report'!$A$9:$D$310,4,FALSE)*$O$323,0)</f>
        <v>-233355</v>
      </c>
      <c r="Q290" s="246">
        <f>+K290+VLOOKUP(A290,'Change in Proportion Layers'!$A$8:$I$321,3,FALSE)+VLOOKUP(A290,'Change in Proportion Layers'!$A$8:$V$321,10,FALSE)+VLOOKUP(A290,'Change in Proportion Layers'!$A$8:$V$321,16,FALSE)+VLOOKUP(A290,'Change in Proportion Layers'!$A$8:$V$321,21,FALSE)</f>
        <v>-1311874</v>
      </c>
      <c r="R290" s="246">
        <f>+L290+VLOOKUP(A290,'Change in Proportion Layers'!$A$8:$V$321,4,FALSE)+VLOOKUP(A290,'Change in Proportion Layers'!$A$8:$V$321,11,FALSE)+VLOOKUP(A290,'Change in Proportion Layers'!$A$8:$V$321,17,FALSE)+VLOOKUP(A290,'Change in Proportion Layers'!$A$8:$V$321,22,FALSE)</f>
        <v>-1023545</v>
      </c>
      <c r="S290" s="246">
        <f>+M290+VLOOKUP(A290,'Change in Proportion Layers'!$A$8:$V$321,5,FALSE)+VLOOKUP(A290,'Change in Proportion Layers'!$A$8:$V$321,12,FALSE)+VLOOKUP(A290,'Change in Proportion Layers'!$A$8:$V$321,18,FALSE)</f>
        <v>-745119</v>
      </c>
      <c r="T290" s="246">
        <f>+N290+VLOOKUP(A290,'Change in Proportion Layers'!$A$8:$V$321,6,FALSE)+VLOOKUP(A290,'Change in Proportion Layers'!$A$8:$V$321,13,FALSE)</f>
        <v>-372385</v>
      </c>
      <c r="U290" s="246">
        <f>+O290+VLOOKUP(A290,'Change in Proportion Layers'!$A$8:$V$321,7,FALSE)</f>
        <v>-520831</v>
      </c>
      <c r="W290" s="246">
        <f>('OPEB Amounts_Report'!G290-'OPEB Amounts_Report'!M290)</f>
        <v>-3973754</v>
      </c>
      <c r="X290" s="282">
        <f>SUM(Q290:U290)-('OPEB Amounts_Report'!G290-'OPEB Amounts_Report'!M290)</f>
        <v>0</v>
      </c>
    </row>
    <row r="291" spans="1:24" s="8" customFormat="1">
      <c r="A291" s="237">
        <v>24073</v>
      </c>
      <c r="B291" s="238" t="s">
        <v>276</v>
      </c>
      <c r="C291" s="48">
        <f t="shared" si="30"/>
        <v>-108207</v>
      </c>
      <c r="D291" s="48">
        <f t="shared" si="31"/>
        <v>-61723</v>
      </c>
      <c r="E291" s="48">
        <f t="shared" si="32"/>
        <v>-21501</v>
      </c>
      <c r="F291" s="48">
        <f t="shared" si="33"/>
        <v>4746</v>
      </c>
      <c r="G291" s="48">
        <f t="shared" si="34"/>
        <v>-21541</v>
      </c>
      <c r="I291" s="51"/>
      <c r="K291" s="156">
        <f>ROUND(VLOOKUP($A291,'Contribution Allocation_Report'!$A$9:$D$310,4,FALSE)*$K$323,0)</f>
        <v>-111659</v>
      </c>
      <c r="L291" s="156">
        <f>ROUND(VLOOKUP($A291,'Contribution Allocation_Report'!$A$9:$D$310,4,FALSE)*$L$323,0)</f>
        <v>-70268</v>
      </c>
      <c r="M291" s="156">
        <f>ROUND(VLOOKUP($A291,'Contribution Allocation_Report'!$A$9:$D$310,4,FALSE)*$M$323,0)</f>
        <v>-39925</v>
      </c>
      <c r="N291" s="156">
        <f>ROUND(VLOOKUP($A291,'Contribution Allocation_Report'!$A$9:$D$310,4,FALSE)*$N$323,0)</f>
        <v>-7939</v>
      </c>
      <c r="O291" s="246">
        <f>ROUND(VLOOKUP($A291,'Contribution Allocation_Report'!$A$9:$D$310,4,FALSE)*$O$323,0)</f>
        <v>-32651</v>
      </c>
      <c r="Q291" s="246">
        <f>+K291+VLOOKUP(A291,'Change in Proportion Layers'!$A$8:$I$321,3,FALSE)+VLOOKUP(A291,'Change in Proportion Layers'!$A$8:$V$321,10,FALSE)+VLOOKUP(A291,'Change in Proportion Layers'!$A$8:$V$321,16,FALSE)+VLOOKUP(A291,'Change in Proportion Layers'!$A$8:$V$321,21,FALSE)</f>
        <v>-108207</v>
      </c>
      <c r="R291" s="246">
        <f>+L291+VLOOKUP(A291,'Change in Proportion Layers'!$A$8:$V$321,4,FALSE)+VLOOKUP(A291,'Change in Proportion Layers'!$A$8:$V$321,11,FALSE)+VLOOKUP(A291,'Change in Proportion Layers'!$A$8:$V$321,17,FALSE)+VLOOKUP(A291,'Change in Proportion Layers'!$A$8:$V$321,22,FALSE)</f>
        <v>-61723</v>
      </c>
      <c r="S291" s="246">
        <f>+M291+VLOOKUP(A291,'Change in Proportion Layers'!$A$8:$V$321,5,FALSE)+VLOOKUP(A291,'Change in Proportion Layers'!$A$8:$V$321,12,FALSE)+VLOOKUP(A291,'Change in Proportion Layers'!$A$8:$V$321,18,FALSE)</f>
        <v>-21501</v>
      </c>
      <c r="T291" s="246">
        <f>+N291+VLOOKUP(A291,'Change in Proportion Layers'!$A$8:$V$321,6,FALSE)+VLOOKUP(A291,'Change in Proportion Layers'!$A$8:$V$321,13,FALSE)</f>
        <v>4746</v>
      </c>
      <c r="U291" s="246">
        <f>+O291+VLOOKUP(A291,'Change in Proportion Layers'!$A$8:$V$321,7,FALSE)</f>
        <v>-21541</v>
      </c>
      <c r="W291" s="246">
        <f>('OPEB Amounts_Report'!G291-'OPEB Amounts_Report'!M291)</f>
        <v>-208226</v>
      </c>
      <c r="X291" s="282">
        <f>SUM(Q291:U291)-('OPEB Amounts_Report'!G291-'OPEB Amounts_Report'!M291)</f>
        <v>0</v>
      </c>
    </row>
    <row r="292" spans="1:24" s="8" customFormat="1">
      <c r="A292" s="235">
        <v>2100</v>
      </c>
      <c r="B292" s="236" t="s">
        <v>277</v>
      </c>
      <c r="C292" s="245">
        <f t="shared" si="30"/>
        <v>-137593</v>
      </c>
      <c r="D292" s="245">
        <f t="shared" si="31"/>
        <v>-90143</v>
      </c>
      <c r="E292" s="245">
        <f t="shared" si="32"/>
        <v>-55806</v>
      </c>
      <c r="F292" s="245">
        <f t="shared" si="33"/>
        <v>-8958</v>
      </c>
      <c r="G292" s="245">
        <f t="shared" si="34"/>
        <v>-45871</v>
      </c>
      <c r="I292" s="51"/>
      <c r="K292" s="156">
        <f>ROUND(VLOOKUP($A292,'Contribution Allocation_Report'!$A$9:$D$310,4,FALSE)*$K$323,0)</f>
        <v>-135425</v>
      </c>
      <c r="L292" s="156">
        <f>ROUND(VLOOKUP($A292,'Contribution Allocation_Report'!$A$9:$D$310,4,FALSE)*$L$323,0)</f>
        <v>-85224</v>
      </c>
      <c r="M292" s="156">
        <f>ROUND(VLOOKUP($A292,'Contribution Allocation_Report'!$A$9:$D$310,4,FALSE)*$M$323,0)</f>
        <v>-48423</v>
      </c>
      <c r="N292" s="156">
        <f>ROUND(VLOOKUP($A292,'Contribution Allocation_Report'!$A$9:$D$310,4,FALSE)*$N$323,0)</f>
        <v>-9629</v>
      </c>
      <c r="O292" s="246">
        <f>ROUND(VLOOKUP($A292,'Contribution Allocation_Report'!$A$9:$D$310,4,FALSE)*$O$323,0)</f>
        <v>-39601</v>
      </c>
      <c r="Q292" s="246">
        <f>+K292+VLOOKUP(A292,'Change in Proportion Layers'!$A$8:$I$321,3,FALSE)+VLOOKUP(A292,'Change in Proportion Layers'!$A$8:$V$321,10,FALSE)+VLOOKUP(A292,'Change in Proportion Layers'!$A$8:$V$321,16,FALSE)+VLOOKUP(A292,'Change in Proportion Layers'!$A$8:$V$321,21,FALSE)</f>
        <v>-137593</v>
      </c>
      <c r="R292" s="246">
        <f>+L292+VLOOKUP(A292,'Change in Proportion Layers'!$A$8:$V$321,4,FALSE)+VLOOKUP(A292,'Change in Proportion Layers'!$A$8:$V$321,11,FALSE)+VLOOKUP(A292,'Change in Proportion Layers'!$A$8:$V$321,17,FALSE)+VLOOKUP(A292,'Change in Proportion Layers'!$A$8:$V$321,22,FALSE)</f>
        <v>-90143</v>
      </c>
      <c r="S292" s="246">
        <f>+M292+VLOOKUP(A292,'Change in Proportion Layers'!$A$8:$V$321,5,FALSE)+VLOOKUP(A292,'Change in Proportion Layers'!$A$8:$V$321,12,FALSE)+VLOOKUP(A292,'Change in Proportion Layers'!$A$8:$V$321,18,FALSE)</f>
        <v>-55806</v>
      </c>
      <c r="T292" s="246">
        <f>+N292+VLOOKUP(A292,'Change in Proportion Layers'!$A$8:$V$321,6,FALSE)+VLOOKUP(A292,'Change in Proportion Layers'!$A$8:$V$321,13,FALSE)</f>
        <v>-8958</v>
      </c>
      <c r="U292" s="246">
        <f>+O292+VLOOKUP(A292,'Change in Proportion Layers'!$A$8:$V$321,7,FALSE)+1</f>
        <v>-45871</v>
      </c>
      <c r="W292" s="246">
        <f>('OPEB Amounts_Report'!G292-'OPEB Amounts_Report'!M292)</f>
        <v>-338371</v>
      </c>
      <c r="X292" s="282">
        <f>SUM(Q292:U292)-('OPEB Amounts_Report'!G292-'OPEB Amounts_Report'!M292)</f>
        <v>0</v>
      </c>
    </row>
    <row r="293" spans="1:24" s="8" customFormat="1">
      <c r="A293" s="237">
        <v>2130</v>
      </c>
      <c r="B293" s="238" t="s">
        <v>278</v>
      </c>
      <c r="C293" s="48">
        <f t="shared" si="30"/>
        <v>-45764</v>
      </c>
      <c r="D293" s="48">
        <f t="shared" si="31"/>
        <v>-33413</v>
      </c>
      <c r="E293" s="48">
        <f t="shared" si="32"/>
        <v>-27600</v>
      </c>
      <c r="F293" s="48">
        <f t="shared" si="33"/>
        <v>-6967</v>
      </c>
      <c r="G293" s="48">
        <f t="shared" si="34"/>
        <v>-10471</v>
      </c>
      <c r="I293" s="51"/>
      <c r="K293" s="156">
        <f>ROUND(VLOOKUP($A293,'Contribution Allocation_Report'!$A$9:$D$310,4,FALSE)*$K$323,0)</f>
        <v>-44485</v>
      </c>
      <c r="L293" s="156">
        <f>ROUND(VLOOKUP($A293,'Contribution Allocation_Report'!$A$9:$D$310,4,FALSE)*$L$323,0)</f>
        <v>-27995</v>
      </c>
      <c r="M293" s="156">
        <f>ROUND(VLOOKUP($A293,'Contribution Allocation_Report'!$A$9:$D$310,4,FALSE)*$M$323,0)</f>
        <v>-15906</v>
      </c>
      <c r="N293" s="156">
        <f>ROUND(VLOOKUP($A293,'Contribution Allocation_Report'!$A$9:$D$310,4,FALSE)*$N$323,0)</f>
        <v>-3163</v>
      </c>
      <c r="O293" s="246">
        <f>ROUND(VLOOKUP($A293,'Contribution Allocation_Report'!$A$9:$D$310,4,FALSE)*$O$323,0)</f>
        <v>-13008</v>
      </c>
      <c r="Q293" s="246">
        <f>+K293+VLOOKUP(A293,'Change in Proportion Layers'!$A$8:$I$321,3,FALSE)+VLOOKUP(A293,'Change in Proportion Layers'!$A$8:$V$321,10,FALSE)+VLOOKUP(A293,'Change in Proportion Layers'!$A$8:$V$321,16,FALSE)+VLOOKUP(A293,'Change in Proportion Layers'!$A$8:$V$321,21,FALSE)</f>
        <v>-45764</v>
      </c>
      <c r="R293" s="246">
        <f>+L293+VLOOKUP(A293,'Change in Proportion Layers'!$A$8:$V$321,4,FALSE)+VLOOKUP(A293,'Change in Proportion Layers'!$A$8:$V$321,11,FALSE)+VLOOKUP(A293,'Change in Proportion Layers'!$A$8:$V$321,17,FALSE)+VLOOKUP(A293,'Change in Proportion Layers'!$A$8:$V$321,22,FALSE)</f>
        <v>-33413</v>
      </c>
      <c r="S293" s="246">
        <f>+M293+VLOOKUP(A293,'Change in Proportion Layers'!$A$8:$V$321,5,FALSE)+VLOOKUP(A293,'Change in Proportion Layers'!$A$8:$V$321,12,FALSE)+VLOOKUP(A293,'Change in Proportion Layers'!$A$8:$V$321,18,FALSE)</f>
        <v>-27600</v>
      </c>
      <c r="T293" s="246">
        <f>+N293+VLOOKUP(A293,'Change in Proportion Layers'!$A$8:$V$321,6,FALSE)+VLOOKUP(A293,'Change in Proportion Layers'!$A$8:$V$321,13,FALSE)</f>
        <v>-6967</v>
      </c>
      <c r="U293" s="246">
        <f>+O293+VLOOKUP(A293,'Change in Proportion Layers'!$A$8:$V$321,7,FALSE)-1</f>
        <v>-10471</v>
      </c>
      <c r="W293" s="246">
        <f>('OPEB Amounts_Report'!G293-'OPEB Amounts_Report'!M293)</f>
        <v>-124215</v>
      </c>
      <c r="X293" s="282">
        <f>SUM(Q293:U293)-('OPEB Amounts_Report'!G293-'OPEB Amounts_Report'!M293)</f>
        <v>0</v>
      </c>
    </row>
    <row r="294" spans="1:24" s="8" customFormat="1">
      <c r="A294" s="235">
        <v>32099</v>
      </c>
      <c r="B294" s="236" t="s">
        <v>279</v>
      </c>
      <c r="C294" s="245">
        <f t="shared" si="30"/>
        <v>-68425</v>
      </c>
      <c r="D294" s="245">
        <f t="shared" si="31"/>
        <v>-50359</v>
      </c>
      <c r="E294" s="245">
        <f t="shared" si="32"/>
        <v>-33403</v>
      </c>
      <c r="F294" s="245">
        <f t="shared" si="33"/>
        <v>-18648</v>
      </c>
      <c r="G294" s="245">
        <f t="shared" si="34"/>
        <v>-11146</v>
      </c>
      <c r="I294" s="51"/>
      <c r="K294" s="156">
        <f>ROUND(VLOOKUP($A294,'Contribution Allocation_Report'!$A$9:$D$310,4,FALSE)*$K$323,0)</f>
        <v>-44626</v>
      </c>
      <c r="L294" s="156">
        <f>ROUND(VLOOKUP($A294,'Contribution Allocation_Report'!$A$9:$D$310,4,FALSE)*$L$323,0)</f>
        <v>-28083</v>
      </c>
      <c r="M294" s="156">
        <f>ROUND(VLOOKUP($A294,'Contribution Allocation_Report'!$A$9:$D$310,4,FALSE)*$M$323,0)</f>
        <v>-15956</v>
      </c>
      <c r="N294" s="156">
        <f>ROUND(VLOOKUP($A294,'Contribution Allocation_Report'!$A$9:$D$310,4,FALSE)*$N$323,0)</f>
        <v>-3173</v>
      </c>
      <c r="O294" s="246">
        <f>ROUND(VLOOKUP($A294,'Contribution Allocation_Report'!$A$9:$D$310,4,FALSE)*$O$323,0)</f>
        <v>-13049</v>
      </c>
      <c r="Q294" s="246">
        <f>+K294+VLOOKUP(A294,'Change in Proportion Layers'!$A$8:$I$321,3,FALSE)+VLOOKUP(A294,'Change in Proportion Layers'!$A$8:$V$321,10,FALSE)+VLOOKUP(A294,'Change in Proportion Layers'!$A$8:$V$321,16,FALSE)+VLOOKUP(A294,'Change in Proportion Layers'!$A$8:$V$321,21,FALSE)</f>
        <v>-68425</v>
      </c>
      <c r="R294" s="246">
        <f>+L294+VLOOKUP(A294,'Change in Proportion Layers'!$A$8:$V$321,4,FALSE)+VLOOKUP(A294,'Change in Proportion Layers'!$A$8:$V$321,11,FALSE)+VLOOKUP(A294,'Change in Proportion Layers'!$A$8:$V$321,17,FALSE)+VLOOKUP(A294,'Change in Proportion Layers'!$A$8:$V$321,22,FALSE)</f>
        <v>-50359</v>
      </c>
      <c r="S294" s="246">
        <f>+M294+VLOOKUP(A294,'Change in Proportion Layers'!$A$8:$V$321,5,FALSE)+VLOOKUP(A294,'Change in Proportion Layers'!$A$8:$V$321,12,FALSE)+VLOOKUP(A294,'Change in Proportion Layers'!$A$8:$V$321,18,FALSE)</f>
        <v>-33403</v>
      </c>
      <c r="T294" s="246">
        <f>+N294+VLOOKUP(A294,'Change in Proportion Layers'!$A$8:$V$321,6,FALSE)+VLOOKUP(A294,'Change in Proportion Layers'!$A$8:$V$321,13,FALSE)</f>
        <v>-18648</v>
      </c>
      <c r="U294" s="246">
        <f>+O294+VLOOKUP(A294,'Change in Proportion Layers'!$A$8:$V$321,7,FALSE)-1</f>
        <v>-11146</v>
      </c>
      <c r="W294" s="246">
        <f>('OPEB Amounts_Report'!G294-'OPEB Amounts_Report'!M294)</f>
        <v>-181981</v>
      </c>
      <c r="X294" s="282">
        <f>SUM(Q294:U294)-('OPEB Amounts_Report'!G294-'OPEB Amounts_Report'!M294)</f>
        <v>0</v>
      </c>
    </row>
    <row r="295" spans="1:24" s="8" customFormat="1">
      <c r="A295" s="237">
        <v>32100</v>
      </c>
      <c r="B295" s="238" t="s">
        <v>280</v>
      </c>
      <c r="C295" s="48">
        <f t="shared" si="30"/>
        <v>-75921</v>
      </c>
      <c r="D295" s="48">
        <f t="shared" si="31"/>
        <v>-46307</v>
      </c>
      <c r="E295" s="48">
        <f t="shared" si="32"/>
        <v>-38652</v>
      </c>
      <c r="F295" s="48">
        <f t="shared" si="33"/>
        <v>-11920</v>
      </c>
      <c r="G295" s="48">
        <f t="shared" si="34"/>
        <v>-18209</v>
      </c>
      <c r="I295" s="51"/>
      <c r="K295" s="156">
        <f>ROUND(VLOOKUP($A295,'Contribution Allocation_Report'!$A$9:$D$310,4,FALSE)*$K$323,0)</f>
        <v>-98909</v>
      </c>
      <c r="L295" s="156">
        <f>ROUND(VLOOKUP($A295,'Contribution Allocation_Report'!$A$9:$D$310,4,FALSE)*$L$323,0)</f>
        <v>-62244</v>
      </c>
      <c r="M295" s="156">
        <f>ROUND(VLOOKUP($A295,'Contribution Allocation_Report'!$A$9:$D$310,4,FALSE)*$M$323,0)</f>
        <v>-35366</v>
      </c>
      <c r="N295" s="156">
        <f>ROUND(VLOOKUP($A295,'Contribution Allocation_Report'!$A$9:$D$310,4,FALSE)*$N$323,0)</f>
        <v>-7032</v>
      </c>
      <c r="O295" s="246">
        <f>ROUND(VLOOKUP($A295,'Contribution Allocation_Report'!$A$9:$D$310,4,FALSE)*$O$323,0)</f>
        <v>-28923</v>
      </c>
      <c r="Q295" s="246">
        <f>+K295+VLOOKUP(A295,'Change in Proportion Layers'!$A$8:$I$321,3,FALSE)+VLOOKUP(A295,'Change in Proportion Layers'!$A$8:$V$321,10,FALSE)+VLOOKUP(A295,'Change in Proportion Layers'!$A$8:$V$321,16,FALSE)+VLOOKUP(A295,'Change in Proportion Layers'!$A$8:$V$321,21,FALSE)</f>
        <v>-75921</v>
      </c>
      <c r="R295" s="246">
        <f>+L295+VLOOKUP(A295,'Change in Proportion Layers'!$A$8:$V$321,4,FALSE)+VLOOKUP(A295,'Change in Proportion Layers'!$A$8:$V$321,11,FALSE)+VLOOKUP(A295,'Change in Proportion Layers'!$A$8:$V$321,17,FALSE)+VLOOKUP(A295,'Change in Proportion Layers'!$A$8:$V$321,22,FALSE)</f>
        <v>-46307</v>
      </c>
      <c r="S295" s="246">
        <f>+M295+VLOOKUP(A295,'Change in Proportion Layers'!$A$8:$V$321,5,FALSE)+VLOOKUP(A295,'Change in Proportion Layers'!$A$8:$V$321,12,FALSE)+VLOOKUP(A295,'Change in Proportion Layers'!$A$8:$V$321,18,FALSE)</f>
        <v>-38652</v>
      </c>
      <c r="T295" s="246">
        <f>+N295+VLOOKUP(A295,'Change in Proportion Layers'!$A$8:$V$321,6,FALSE)+VLOOKUP(A295,'Change in Proportion Layers'!$A$8:$V$321,13,FALSE)</f>
        <v>-11920</v>
      </c>
      <c r="U295" s="246">
        <f>+O295+VLOOKUP(A295,'Change in Proportion Layers'!$A$8:$V$321,7,FALSE)+1</f>
        <v>-18209</v>
      </c>
      <c r="W295" s="246">
        <f>('OPEB Amounts_Report'!G295-'OPEB Amounts_Report'!M295)</f>
        <v>-191009</v>
      </c>
      <c r="X295" s="282">
        <f>SUM(Q295:U295)-('OPEB Amounts_Report'!G295-'OPEB Amounts_Report'!M295)</f>
        <v>0</v>
      </c>
    </row>
    <row r="296" spans="1:24" s="8" customFormat="1">
      <c r="A296" s="235">
        <v>32101</v>
      </c>
      <c r="B296" s="236" t="s">
        <v>281</v>
      </c>
      <c r="C296" s="245">
        <f t="shared" si="30"/>
        <v>-51936</v>
      </c>
      <c r="D296" s="245">
        <f t="shared" si="31"/>
        <v>-48248</v>
      </c>
      <c r="E296" s="245">
        <f t="shared" si="32"/>
        <v>-44048</v>
      </c>
      <c r="F296" s="245">
        <f t="shared" si="33"/>
        <v>-46123</v>
      </c>
      <c r="G296" s="245">
        <f t="shared" si="34"/>
        <v>-45873</v>
      </c>
      <c r="I296" s="51"/>
      <c r="K296" s="156">
        <f>ROUND(VLOOKUP($A296,'Contribution Allocation_Report'!$A$9:$D$310,4,FALSE)*$K$323,0)</f>
        <v>-4875</v>
      </c>
      <c r="L296" s="156">
        <f>ROUND(VLOOKUP($A296,'Contribution Allocation_Report'!$A$9:$D$310,4,FALSE)*$L$323,0)</f>
        <v>-3068</v>
      </c>
      <c r="M296" s="156">
        <f>ROUND(VLOOKUP($A296,'Contribution Allocation_Report'!$A$9:$D$310,4,FALSE)*$M$323,0)</f>
        <v>-1743</v>
      </c>
      <c r="N296" s="156">
        <f>ROUND(VLOOKUP($A296,'Contribution Allocation_Report'!$A$9:$D$310,4,FALSE)*$N$323,0)</f>
        <v>-347</v>
      </c>
      <c r="O296" s="246">
        <f>ROUND(VLOOKUP($A296,'Contribution Allocation_Report'!$A$9:$D$310,4,FALSE)*$O$323,0)</f>
        <v>-1426</v>
      </c>
      <c r="Q296" s="246">
        <f>+K296+VLOOKUP(A296,'Change in Proportion Layers'!$A$8:$I$321,3,FALSE)+VLOOKUP(A296,'Change in Proportion Layers'!$A$8:$V$321,10,FALSE)+VLOOKUP(A296,'Change in Proportion Layers'!$A$8:$V$321,16,FALSE)+VLOOKUP(A296,'Change in Proportion Layers'!$A$8:$V$321,21,FALSE)</f>
        <v>-51936</v>
      </c>
      <c r="R296" s="246">
        <f>+L296+VLOOKUP(A296,'Change in Proportion Layers'!$A$8:$V$321,4,FALSE)+VLOOKUP(A296,'Change in Proportion Layers'!$A$8:$V$321,11,FALSE)+VLOOKUP(A296,'Change in Proportion Layers'!$A$8:$V$321,17,FALSE)+VLOOKUP(A296,'Change in Proportion Layers'!$A$8:$V$321,22,FALSE)</f>
        <v>-48248</v>
      </c>
      <c r="S296" s="246">
        <f>+M296+VLOOKUP(A296,'Change in Proportion Layers'!$A$8:$V$321,5,FALSE)+VLOOKUP(A296,'Change in Proportion Layers'!$A$8:$V$321,12,FALSE)+VLOOKUP(A296,'Change in Proportion Layers'!$A$8:$V$321,18,FALSE)</f>
        <v>-44048</v>
      </c>
      <c r="T296" s="246">
        <f>+N296+VLOOKUP(A296,'Change in Proportion Layers'!$A$8:$V$321,6,FALSE)+VLOOKUP(A296,'Change in Proportion Layers'!$A$8:$V$321,13,FALSE)</f>
        <v>-46123</v>
      </c>
      <c r="U296" s="246">
        <f>+O296+VLOOKUP(A296,'Change in Proportion Layers'!$A$8:$V$321,7,FALSE)</f>
        <v>-45873</v>
      </c>
      <c r="W296" s="246">
        <f>('OPEB Amounts_Report'!G296-'OPEB Amounts_Report'!M296)</f>
        <v>-236228</v>
      </c>
      <c r="X296" s="282">
        <f>SUM(Q296:U296)-('OPEB Amounts_Report'!G296-'OPEB Amounts_Report'!M296)</f>
        <v>0</v>
      </c>
    </row>
    <row r="297" spans="1:24" s="8" customFormat="1">
      <c r="A297" s="237">
        <v>32102</v>
      </c>
      <c r="B297" s="238" t="s">
        <v>282</v>
      </c>
      <c r="C297" s="48">
        <f t="shared" si="30"/>
        <v>-65359</v>
      </c>
      <c r="D297" s="48">
        <f t="shared" si="31"/>
        <v>-39395</v>
      </c>
      <c r="E297" s="48">
        <f t="shared" si="32"/>
        <v>-15544</v>
      </c>
      <c r="F297" s="48">
        <f t="shared" si="33"/>
        <v>-3579</v>
      </c>
      <c r="G297" s="48">
        <f t="shared" si="34"/>
        <v>-13409</v>
      </c>
      <c r="I297" s="51"/>
      <c r="K297" s="156">
        <f>ROUND(VLOOKUP($A297,'Contribution Allocation_Report'!$A$9:$D$310,4,FALSE)*$K$323,0)</f>
        <v>-58876</v>
      </c>
      <c r="L297" s="156">
        <f>ROUND(VLOOKUP($A297,'Contribution Allocation_Report'!$A$9:$D$310,4,FALSE)*$L$323,0)</f>
        <v>-37051</v>
      </c>
      <c r="M297" s="156">
        <f>ROUND(VLOOKUP($A297,'Contribution Allocation_Report'!$A$9:$D$310,4,FALSE)*$M$323,0)</f>
        <v>-21052</v>
      </c>
      <c r="N297" s="156">
        <f>ROUND(VLOOKUP($A297,'Contribution Allocation_Report'!$A$9:$D$310,4,FALSE)*$N$323,0)</f>
        <v>-4186</v>
      </c>
      <c r="O297" s="246">
        <f>ROUND(VLOOKUP($A297,'Contribution Allocation_Report'!$A$9:$D$310,4,FALSE)*$O$323,0)</f>
        <v>-17217</v>
      </c>
      <c r="Q297" s="246">
        <f>+K297+VLOOKUP(A297,'Change in Proportion Layers'!$A$8:$I$321,3,FALSE)+VLOOKUP(A297,'Change in Proportion Layers'!$A$8:$V$321,10,FALSE)+VLOOKUP(A297,'Change in Proportion Layers'!$A$8:$V$321,16,FALSE)+VLOOKUP(A297,'Change in Proportion Layers'!$A$8:$V$321,21,FALSE)</f>
        <v>-65359</v>
      </c>
      <c r="R297" s="246">
        <f>+L297+VLOOKUP(A297,'Change in Proportion Layers'!$A$8:$V$321,4,FALSE)+VLOOKUP(A297,'Change in Proportion Layers'!$A$8:$V$321,11,FALSE)+VLOOKUP(A297,'Change in Proportion Layers'!$A$8:$V$321,17,FALSE)+VLOOKUP(A297,'Change in Proportion Layers'!$A$8:$V$321,22,FALSE)</f>
        <v>-39395</v>
      </c>
      <c r="S297" s="246">
        <f>+M297+VLOOKUP(A297,'Change in Proportion Layers'!$A$8:$V$321,5,FALSE)+VLOOKUP(A297,'Change in Proportion Layers'!$A$8:$V$321,12,FALSE)+VLOOKUP(A297,'Change in Proportion Layers'!$A$8:$V$321,18,FALSE)</f>
        <v>-15544</v>
      </c>
      <c r="T297" s="246">
        <f>+N297+VLOOKUP(A297,'Change in Proportion Layers'!$A$8:$V$321,6,FALSE)+VLOOKUP(A297,'Change in Proportion Layers'!$A$8:$V$321,13,FALSE)</f>
        <v>-3579</v>
      </c>
      <c r="U297" s="246">
        <f>+O297+VLOOKUP(A297,'Change in Proportion Layers'!$A$8:$V$321,7,FALSE)</f>
        <v>-13409</v>
      </c>
      <c r="W297" s="246">
        <f>('OPEB Amounts_Report'!G297-'OPEB Amounts_Report'!M297)</f>
        <v>-137286</v>
      </c>
      <c r="X297" s="282">
        <f>SUM(Q297:U297)-('OPEB Amounts_Report'!G297-'OPEB Amounts_Report'!M297)</f>
        <v>0</v>
      </c>
    </row>
    <row r="298" spans="1:24" s="182" customFormat="1">
      <c r="A298" s="235">
        <v>2880</v>
      </c>
      <c r="B298" s="236" t="s">
        <v>283</v>
      </c>
      <c r="C298" s="245">
        <f t="shared" ref="C298:C321" si="35">+Q298</f>
        <v>-14364</v>
      </c>
      <c r="D298" s="245">
        <f t="shared" ref="D298:D321" si="36">+R298</f>
        <v>-8476</v>
      </c>
      <c r="E298" s="245">
        <f t="shared" ref="E298:E321" si="37">+S298</f>
        <v>-5098</v>
      </c>
      <c r="F298" s="245">
        <f t="shared" ref="F298:F321" si="38">+T298</f>
        <v>3843</v>
      </c>
      <c r="G298" s="245">
        <f t="shared" ref="G298:G321" si="39">+U298</f>
        <v>-508</v>
      </c>
      <c r="I298" s="51"/>
      <c r="K298" s="156">
        <f>ROUND(VLOOKUP($A298,'Contribution Allocation_Report'!$A$9:$D$310,4,FALSE)*$K$323,0)</f>
        <v>-19922</v>
      </c>
      <c r="L298" s="156">
        <f>ROUND(VLOOKUP($A298,'Contribution Allocation_Report'!$A$9:$D$310,4,FALSE)*$L$323,0)</f>
        <v>-12537</v>
      </c>
      <c r="M298" s="156">
        <f>ROUND(VLOOKUP($A298,'Contribution Allocation_Report'!$A$9:$D$310,4,FALSE)*$M$323,0)</f>
        <v>-7123</v>
      </c>
      <c r="N298" s="156">
        <f>ROUND(VLOOKUP($A298,'Contribution Allocation_Report'!$A$9:$D$310,4,FALSE)*$N$323,0)</f>
        <v>-1416</v>
      </c>
      <c r="O298" s="246">
        <f>ROUND(VLOOKUP($A298,'Contribution Allocation_Report'!$A$9:$D$310,4,FALSE)*$O$323,0)</f>
        <v>-5826</v>
      </c>
      <c r="Q298" s="246">
        <f>+K298+VLOOKUP(A298,'Change in Proportion Layers'!$A$8:$I$321,3,FALSE)+VLOOKUP(A298,'Change in Proportion Layers'!$A$8:$V$321,10,FALSE)+VLOOKUP(A298,'Change in Proportion Layers'!$A$8:$V$321,16,FALSE)+VLOOKUP(A298,'Change in Proportion Layers'!$A$8:$V$321,21,FALSE)</f>
        <v>-14364</v>
      </c>
      <c r="R298" s="246">
        <f>+L298+VLOOKUP(A298,'Change in Proportion Layers'!$A$8:$V$321,4,FALSE)+VLOOKUP(A298,'Change in Proportion Layers'!$A$8:$V$321,11,FALSE)+VLOOKUP(A298,'Change in Proportion Layers'!$A$8:$V$321,17,FALSE)+VLOOKUP(A298,'Change in Proportion Layers'!$A$8:$V$321,22,FALSE)</f>
        <v>-8476</v>
      </c>
      <c r="S298" s="246">
        <f>+M298+VLOOKUP(A298,'Change in Proportion Layers'!$A$8:$V$321,5,FALSE)+VLOOKUP(A298,'Change in Proportion Layers'!$A$8:$V$321,12,FALSE)+VLOOKUP(A298,'Change in Proportion Layers'!$A$8:$V$321,18,FALSE)</f>
        <v>-5098</v>
      </c>
      <c r="T298" s="246">
        <f>+N298+VLOOKUP(A298,'Change in Proportion Layers'!$A$8:$V$321,6,FALSE)+VLOOKUP(A298,'Change in Proportion Layers'!$A$8:$V$321,13,FALSE)</f>
        <v>3843</v>
      </c>
      <c r="U298" s="246">
        <f>+O298+VLOOKUP(A298,'Change in Proportion Layers'!$A$8:$V$321,7,FALSE)-1</f>
        <v>-508</v>
      </c>
      <c r="W298" s="246">
        <f>('OPEB Amounts_Report'!G298-'OPEB Amounts_Report'!M298)</f>
        <v>-24603</v>
      </c>
      <c r="X298" s="282">
        <f>SUM(Q298:U298)-('OPEB Amounts_Report'!G298-'OPEB Amounts_Report'!M298)</f>
        <v>0</v>
      </c>
    </row>
    <row r="299" spans="1:24" s="182" customFormat="1">
      <c r="A299" s="237">
        <v>2490</v>
      </c>
      <c r="B299" s="238" t="s">
        <v>284</v>
      </c>
      <c r="C299" s="48">
        <f t="shared" si="35"/>
        <v>-149181</v>
      </c>
      <c r="D299" s="48">
        <f t="shared" si="36"/>
        <v>-101136</v>
      </c>
      <c r="E299" s="48">
        <f t="shared" si="37"/>
        <v>-73561</v>
      </c>
      <c r="F299" s="48">
        <f t="shared" si="38"/>
        <v>-44956</v>
      </c>
      <c r="G299" s="48">
        <f t="shared" si="39"/>
        <v>-36039</v>
      </c>
      <c r="I299" s="51"/>
      <c r="K299" s="156">
        <f>ROUND(VLOOKUP($A299,'Contribution Allocation_Report'!$A$9:$D$310,4,FALSE)*$K$323,0)</f>
        <v>-132472</v>
      </c>
      <c r="L299" s="156">
        <f>ROUND(VLOOKUP($A299,'Contribution Allocation_Report'!$A$9:$D$310,4,FALSE)*$L$323,0)</f>
        <v>-83365</v>
      </c>
      <c r="M299" s="156">
        <f>ROUND(VLOOKUP($A299,'Contribution Allocation_Report'!$A$9:$D$310,4,FALSE)*$M$323,0)</f>
        <v>-47367</v>
      </c>
      <c r="N299" s="156">
        <f>ROUND(VLOOKUP($A299,'Contribution Allocation_Report'!$A$9:$D$310,4,FALSE)*$N$323,0)</f>
        <v>-9419</v>
      </c>
      <c r="O299" s="246">
        <f>ROUND(VLOOKUP($A299,'Contribution Allocation_Report'!$A$9:$D$310,4,FALSE)*$O$323,0)</f>
        <v>-38737</v>
      </c>
      <c r="Q299" s="246">
        <f>+K299+VLOOKUP(A299,'Change in Proportion Layers'!$A$8:$I$321,3,FALSE)+VLOOKUP(A299,'Change in Proportion Layers'!$A$8:$V$321,10,FALSE)+VLOOKUP(A299,'Change in Proportion Layers'!$A$8:$V$321,16,FALSE)+VLOOKUP(A299,'Change in Proportion Layers'!$A$8:$V$321,21,FALSE)</f>
        <v>-149181</v>
      </c>
      <c r="R299" s="246">
        <f>+L299+VLOOKUP(A299,'Change in Proportion Layers'!$A$8:$V$321,4,FALSE)+VLOOKUP(A299,'Change in Proportion Layers'!$A$8:$V$321,11,FALSE)+VLOOKUP(A299,'Change in Proportion Layers'!$A$8:$V$321,17,FALSE)+VLOOKUP(A299,'Change in Proportion Layers'!$A$8:$V$321,22,FALSE)</f>
        <v>-101136</v>
      </c>
      <c r="S299" s="246">
        <f>+M299+VLOOKUP(A299,'Change in Proportion Layers'!$A$8:$V$321,5,FALSE)+VLOOKUP(A299,'Change in Proportion Layers'!$A$8:$V$321,12,FALSE)+VLOOKUP(A299,'Change in Proportion Layers'!$A$8:$V$321,18,FALSE)</f>
        <v>-73561</v>
      </c>
      <c r="T299" s="246">
        <f>+N299+VLOOKUP(A299,'Change in Proportion Layers'!$A$8:$V$321,6,FALSE)+VLOOKUP(A299,'Change in Proportion Layers'!$A$8:$V$321,13,FALSE)</f>
        <v>-44956</v>
      </c>
      <c r="U299" s="246">
        <f>+O299+VLOOKUP(A299,'Change in Proportion Layers'!$A$8:$V$321,7,FALSE)+1</f>
        <v>-36039</v>
      </c>
      <c r="W299" s="246">
        <f>('OPEB Amounts_Report'!G299-'OPEB Amounts_Report'!M299)</f>
        <v>-404873</v>
      </c>
      <c r="X299" s="282">
        <f>SUM(Q299:U299)-('OPEB Amounts_Report'!G299-'OPEB Amounts_Report'!M299)</f>
        <v>0</v>
      </c>
    </row>
    <row r="300" spans="1:24" s="182" customFormat="1">
      <c r="A300" s="235">
        <v>2530</v>
      </c>
      <c r="B300" s="236" t="s">
        <v>285</v>
      </c>
      <c r="C300" s="245">
        <f t="shared" si="35"/>
        <v>-43735</v>
      </c>
      <c r="D300" s="245">
        <f t="shared" si="36"/>
        <v>-37643</v>
      </c>
      <c r="E300" s="245">
        <f t="shared" si="37"/>
        <v>-36516</v>
      </c>
      <c r="F300" s="245">
        <f t="shared" si="38"/>
        <v>-40788</v>
      </c>
      <c r="G300" s="245">
        <f t="shared" si="39"/>
        <v>-36643</v>
      </c>
      <c r="I300" s="51"/>
      <c r="K300" s="156">
        <f>ROUND(VLOOKUP($A300,'Contribution Allocation_Report'!$A$9:$D$310,4,FALSE)*$K$323,0)</f>
        <v>-14297</v>
      </c>
      <c r="L300" s="156">
        <f>ROUND(VLOOKUP($A300,'Contribution Allocation_Report'!$A$9:$D$310,4,FALSE)*$L$323,0)</f>
        <v>-8997</v>
      </c>
      <c r="M300" s="156">
        <f>ROUND(VLOOKUP($A300,'Contribution Allocation_Report'!$A$9:$D$310,4,FALSE)*$M$323,0)</f>
        <v>-5112</v>
      </c>
      <c r="N300" s="156">
        <f>ROUND(VLOOKUP($A300,'Contribution Allocation_Report'!$A$9:$D$310,4,FALSE)*$N$323,0)</f>
        <v>-1017</v>
      </c>
      <c r="O300" s="246">
        <f>ROUND(VLOOKUP($A300,'Contribution Allocation_Report'!$A$9:$D$310,4,FALSE)*$O$323,0)</f>
        <v>-4181</v>
      </c>
      <c r="Q300" s="246">
        <f>+K300+VLOOKUP(A300,'Change in Proportion Layers'!$A$8:$I$321,3,FALSE)+VLOOKUP(A300,'Change in Proportion Layers'!$A$8:$V$321,10,FALSE)+VLOOKUP(A300,'Change in Proportion Layers'!$A$8:$V$321,16,FALSE)+VLOOKUP(A300,'Change in Proportion Layers'!$A$8:$V$321,21,FALSE)</f>
        <v>-43735</v>
      </c>
      <c r="R300" s="246">
        <f>+L300+VLOOKUP(A300,'Change in Proportion Layers'!$A$8:$V$321,4,FALSE)+VLOOKUP(A300,'Change in Proportion Layers'!$A$8:$V$321,11,FALSE)+VLOOKUP(A300,'Change in Proportion Layers'!$A$8:$V$321,17,FALSE)+VLOOKUP(A300,'Change in Proportion Layers'!$A$8:$V$321,22,FALSE)</f>
        <v>-37643</v>
      </c>
      <c r="S300" s="246">
        <f>+M300+VLOOKUP(A300,'Change in Proportion Layers'!$A$8:$V$321,5,FALSE)+VLOOKUP(A300,'Change in Proportion Layers'!$A$8:$V$321,12,FALSE)+VLOOKUP(A300,'Change in Proportion Layers'!$A$8:$V$321,18,FALSE)</f>
        <v>-36516</v>
      </c>
      <c r="T300" s="246">
        <f>+N300+VLOOKUP(A300,'Change in Proportion Layers'!$A$8:$V$321,6,FALSE)+VLOOKUP(A300,'Change in Proportion Layers'!$A$8:$V$321,13,FALSE)</f>
        <v>-40788</v>
      </c>
      <c r="U300" s="246">
        <f>+O300+VLOOKUP(A300,'Change in Proportion Layers'!$A$8:$V$321,7,FALSE)-1</f>
        <v>-36643</v>
      </c>
      <c r="W300" s="246">
        <f>('OPEB Amounts_Report'!G300-'OPEB Amounts_Report'!M300)</f>
        <v>-195325</v>
      </c>
      <c r="X300" s="282">
        <f>SUM(Q300:U300)-('OPEB Amounts_Report'!G300-'OPEB Amounts_Report'!M300)</f>
        <v>0</v>
      </c>
    </row>
    <row r="301" spans="1:24" s="182" customFormat="1">
      <c r="A301" s="237">
        <v>2560</v>
      </c>
      <c r="B301" s="238" t="s">
        <v>286</v>
      </c>
      <c r="C301" s="48">
        <f t="shared" si="35"/>
        <v>-65472</v>
      </c>
      <c r="D301" s="48">
        <f t="shared" si="36"/>
        <v>-46208</v>
      </c>
      <c r="E301" s="48">
        <f t="shared" si="37"/>
        <v>-31024</v>
      </c>
      <c r="F301" s="48">
        <f t="shared" si="38"/>
        <v>-28406</v>
      </c>
      <c r="G301" s="48">
        <f t="shared" si="39"/>
        <v>-29944</v>
      </c>
      <c r="I301" s="51"/>
      <c r="K301" s="156">
        <f>ROUND(VLOOKUP($A301,'Contribution Allocation_Report'!$A$9:$D$310,4,FALSE)*$K$323,0)</f>
        <v>-42423</v>
      </c>
      <c r="L301" s="156">
        <f>ROUND(VLOOKUP($A301,'Contribution Allocation_Report'!$A$9:$D$310,4,FALSE)*$L$323,0)</f>
        <v>-26697</v>
      </c>
      <c r="M301" s="156">
        <f>ROUND(VLOOKUP($A301,'Contribution Allocation_Report'!$A$9:$D$310,4,FALSE)*$M$323,0)</f>
        <v>-15169</v>
      </c>
      <c r="N301" s="156">
        <f>ROUND(VLOOKUP($A301,'Contribution Allocation_Report'!$A$9:$D$310,4,FALSE)*$N$323,0)</f>
        <v>-3016</v>
      </c>
      <c r="O301" s="246">
        <f>ROUND(VLOOKUP($A301,'Contribution Allocation_Report'!$A$9:$D$310,4,FALSE)*$O$323,0)</f>
        <v>-12405</v>
      </c>
      <c r="Q301" s="246">
        <f>+K301+VLOOKUP(A301,'Change in Proportion Layers'!$A$8:$I$321,3,FALSE)+VLOOKUP(A301,'Change in Proportion Layers'!$A$8:$V$321,10,FALSE)+VLOOKUP(A301,'Change in Proportion Layers'!$A$8:$V$321,16,FALSE)+VLOOKUP(A301,'Change in Proportion Layers'!$A$8:$V$321,21,FALSE)</f>
        <v>-65472</v>
      </c>
      <c r="R301" s="246">
        <f>+L301+VLOOKUP(A301,'Change in Proportion Layers'!$A$8:$V$321,4,FALSE)+VLOOKUP(A301,'Change in Proportion Layers'!$A$8:$V$321,11,FALSE)+VLOOKUP(A301,'Change in Proportion Layers'!$A$8:$V$321,17,FALSE)+VLOOKUP(A301,'Change in Proportion Layers'!$A$8:$V$321,22,FALSE)</f>
        <v>-46208</v>
      </c>
      <c r="S301" s="246">
        <f>+M301+VLOOKUP(A301,'Change in Proportion Layers'!$A$8:$V$321,5,FALSE)+VLOOKUP(A301,'Change in Proportion Layers'!$A$8:$V$321,12,FALSE)+VLOOKUP(A301,'Change in Proportion Layers'!$A$8:$V$321,18,FALSE)</f>
        <v>-31024</v>
      </c>
      <c r="T301" s="246">
        <f>+N301+VLOOKUP(A301,'Change in Proportion Layers'!$A$8:$V$321,6,FALSE)+VLOOKUP(A301,'Change in Proportion Layers'!$A$8:$V$321,13,FALSE)</f>
        <v>-28406</v>
      </c>
      <c r="U301" s="246">
        <f>+O301+VLOOKUP(A301,'Change in Proportion Layers'!$A$8:$V$321,7,FALSE)</f>
        <v>-29944</v>
      </c>
      <c r="W301" s="246">
        <f>('OPEB Amounts_Report'!G301-'OPEB Amounts_Report'!M301)</f>
        <v>-201054</v>
      </c>
      <c r="X301" s="282">
        <f>SUM(Q301:U301)-('OPEB Amounts_Report'!G301-'OPEB Amounts_Report'!M301)</f>
        <v>0</v>
      </c>
    </row>
    <row r="302" spans="1:24" s="182" customFormat="1">
      <c r="A302" s="235">
        <v>2610</v>
      </c>
      <c r="B302" s="236" t="s">
        <v>287</v>
      </c>
      <c r="C302" s="245">
        <f t="shared" si="35"/>
        <v>-14606</v>
      </c>
      <c r="D302" s="245">
        <f t="shared" si="36"/>
        <v>-9146</v>
      </c>
      <c r="E302" s="245">
        <f t="shared" si="37"/>
        <v>-7034</v>
      </c>
      <c r="F302" s="245">
        <f t="shared" si="38"/>
        <v>-3799</v>
      </c>
      <c r="G302" s="245">
        <f t="shared" si="39"/>
        <v>-3964</v>
      </c>
      <c r="I302" s="51"/>
      <c r="K302" s="156">
        <f>ROUND(VLOOKUP($A302,'Contribution Allocation_Report'!$A$9:$D$310,4,FALSE)*$K$323,0)</f>
        <v>-16266</v>
      </c>
      <c r="L302" s="156">
        <f>ROUND(VLOOKUP($A302,'Contribution Allocation_Report'!$A$9:$D$310,4,FALSE)*$L$323,0)</f>
        <v>-10236</v>
      </c>
      <c r="M302" s="156">
        <f>ROUND(VLOOKUP($A302,'Contribution Allocation_Report'!$A$9:$D$310,4,FALSE)*$M$323,0)</f>
        <v>-5816</v>
      </c>
      <c r="N302" s="156">
        <f>ROUND(VLOOKUP($A302,'Contribution Allocation_Report'!$A$9:$D$310,4,FALSE)*$N$323,0)</f>
        <v>-1157</v>
      </c>
      <c r="O302" s="246">
        <f>ROUND(VLOOKUP($A302,'Contribution Allocation_Report'!$A$9:$D$310,4,FALSE)*$O$323,0)</f>
        <v>-4756</v>
      </c>
      <c r="Q302" s="246">
        <f>+K302+VLOOKUP(A302,'Change in Proportion Layers'!$A$8:$I$321,3,FALSE)+VLOOKUP(A302,'Change in Proportion Layers'!$A$8:$V$321,10,FALSE)+VLOOKUP(A302,'Change in Proportion Layers'!$A$8:$V$321,16,FALSE)+VLOOKUP(A302,'Change in Proportion Layers'!$A$8:$V$321,21,FALSE)</f>
        <v>-14606</v>
      </c>
      <c r="R302" s="246">
        <f>+L302+VLOOKUP(A302,'Change in Proportion Layers'!$A$8:$V$321,4,FALSE)+VLOOKUP(A302,'Change in Proportion Layers'!$A$8:$V$321,11,FALSE)+VLOOKUP(A302,'Change in Proportion Layers'!$A$8:$V$321,17,FALSE)+VLOOKUP(A302,'Change in Proportion Layers'!$A$8:$V$321,22,FALSE)</f>
        <v>-9146</v>
      </c>
      <c r="S302" s="246">
        <f>+M302+VLOOKUP(A302,'Change in Proportion Layers'!$A$8:$V$321,5,FALSE)+VLOOKUP(A302,'Change in Proportion Layers'!$A$8:$V$321,12,FALSE)+VLOOKUP(A302,'Change in Proportion Layers'!$A$8:$V$321,18,FALSE)</f>
        <v>-7034</v>
      </c>
      <c r="T302" s="246">
        <f>+N302+VLOOKUP(A302,'Change in Proportion Layers'!$A$8:$V$321,6,FALSE)+VLOOKUP(A302,'Change in Proportion Layers'!$A$8:$V$321,13,FALSE)</f>
        <v>-3799</v>
      </c>
      <c r="U302" s="246">
        <f>+O302+VLOOKUP(A302,'Change in Proportion Layers'!$A$8:$V$321,7,FALSE)-1</f>
        <v>-3964</v>
      </c>
      <c r="W302" s="246">
        <f>('OPEB Amounts_Report'!G302-'OPEB Amounts_Report'!M302)</f>
        <v>-38549</v>
      </c>
      <c r="X302" s="282">
        <f>SUM(Q302:U302)-('OPEB Amounts_Report'!G302-'OPEB Amounts_Report'!M302)</f>
        <v>0</v>
      </c>
    </row>
    <row r="303" spans="1:24" s="182" customFormat="1">
      <c r="A303" s="237">
        <v>2800</v>
      </c>
      <c r="B303" s="238" t="s">
        <v>288</v>
      </c>
      <c r="C303" s="48">
        <f t="shared" si="35"/>
        <v>-11138</v>
      </c>
      <c r="D303" s="48">
        <f t="shared" si="36"/>
        <v>114</v>
      </c>
      <c r="E303" s="48">
        <f t="shared" si="37"/>
        <v>1986</v>
      </c>
      <c r="F303" s="48">
        <f t="shared" si="38"/>
        <v>15208</v>
      </c>
      <c r="G303" s="48">
        <f t="shared" si="39"/>
        <v>-8863</v>
      </c>
      <c r="I303" s="51"/>
      <c r="K303" s="156">
        <f>ROUND(VLOOKUP($A303,'Contribution Allocation_Report'!$A$9:$D$310,4,FALSE)*$K$323,0)</f>
        <v>-41157</v>
      </c>
      <c r="L303" s="156">
        <f>ROUND(VLOOKUP($A303,'Contribution Allocation_Report'!$A$9:$D$310,4,FALSE)*$L$323,0)</f>
        <v>-25900</v>
      </c>
      <c r="M303" s="156">
        <f>ROUND(VLOOKUP($A303,'Contribution Allocation_Report'!$A$9:$D$310,4,FALSE)*$M$323,0)</f>
        <v>-14716</v>
      </c>
      <c r="N303" s="156">
        <f>ROUND(VLOOKUP($A303,'Contribution Allocation_Report'!$A$9:$D$310,4,FALSE)*$N$323,0)</f>
        <v>-2926</v>
      </c>
      <c r="O303" s="246">
        <f>ROUND(VLOOKUP($A303,'Contribution Allocation_Report'!$A$9:$D$310,4,FALSE)*$O$323,0)</f>
        <v>-12035</v>
      </c>
      <c r="Q303" s="246">
        <f>+K303+VLOOKUP(A303,'Change in Proportion Layers'!$A$8:$I$321,3,FALSE)+VLOOKUP(A303,'Change in Proportion Layers'!$A$8:$V$321,10,FALSE)+VLOOKUP(A303,'Change in Proportion Layers'!$A$8:$V$321,16,FALSE)+VLOOKUP(A303,'Change in Proportion Layers'!$A$8:$V$321,21,FALSE)</f>
        <v>-11138</v>
      </c>
      <c r="R303" s="246">
        <f>+L303+VLOOKUP(A303,'Change in Proportion Layers'!$A$8:$V$321,4,FALSE)+VLOOKUP(A303,'Change in Proportion Layers'!$A$8:$V$321,11,FALSE)+VLOOKUP(A303,'Change in Proportion Layers'!$A$8:$V$321,17,FALSE)+VLOOKUP(A303,'Change in Proportion Layers'!$A$8:$V$321,22,FALSE)</f>
        <v>114</v>
      </c>
      <c r="S303" s="246">
        <f>+M303+VLOOKUP(A303,'Change in Proportion Layers'!$A$8:$V$321,5,FALSE)+VLOOKUP(A303,'Change in Proportion Layers'!$A$8:$V$321,12,FALSE)+VLOOKUP(A303,'Change in Proportion Layers'!$A$8:$V$321,18,FALSE)</f>
        <v>1986</v>
      </c>
      <c r="T303" s="246">
        <f>+N303+VLOOKUP(A303,'Change in Proportion Layers'!$A$8:$V$321,6,FALSE)+VLOOKUP(A303,'Change in Proportion Layers'!$A$8:$V$321,13,FALSE)</f>
        <v>15208</v>
      </c>
      <c r="U303" s="246">
        <f>+O303+VLOOKUP(A303,'Change in Proportion Layers'!$A$8:$V$321,7,FALSE)-1</f>
        <v>-8863</v>
      </c>
      <c r="W303" s="246">
        <f>('OPEB Amounts_Report'!G303-'OPEB Amounts_Report'!M303)</f>
        <v>-2693</v>
      </c>
      <c r="X303" s="282">
        <f>SUM(Q303:U303)-('OPEB Amounts_Report'!G303-'OPEB Amounts_Report'!M303)</f>
        <v>0</v>
      </c>
    </row>
    <row r="304" spans="1:24" s="182" customFormat="1">
      <c r="A304" s="235">
        <v>20317</v>
      </c>
      <c r="B304" s="236" t="s">
        <v>289</v>
      </c>
      <c r="C304" s="245">
        <f t="shared" si="35"/>
        <v>-71226</v>
      </c>
      <c r="D304" s="245">
        <f t="shared" si="36"/>
        <v>-45324</v>
      </c>
      <c r="E304" s="245">
        <f t="shared" si="37"/>
        <v>-26636</v>
      </c>
      <c r="F304" s="245">
        <f t="shared" si="38"/>
        <v>-10077</v>
      </c>
      <c r="G304" s="245">
        <f t="shared" si="39"/>
        <v>-49404</v>
      </c>
      <c r="I304" s="51"/>
      <c r="K304" s="156">
        <f>ROUND(VLOOKUP($A304,'Contribution Allocation_Report'!$A$9:$D$310,4,FALSE)*$K$323,0)</f>
        <v>-68252</v>
      </c>
      <c r="L304" s="156">
        <f>ROUND(VLOOKUP($A304,'Contribution Allocation_Report'!$A$9:$D$310,4,FALSE)*$L$323,0)</f>
        <v>-42951</v>
      </c>
      <c r="M304" s="156">
        <f>ROUND(VLOOKUP($A304,'Contribution Allocation_Report'!$A$9:$D$310,4,FALSE)*$M$323,0)</f>
        <v>-24404</v>
      </c>
      <c r="N304" s="156">
        <f>ROUND(VLOOKUP($A304,'Contribution Allocation_Report'!$A$9:$D$310,4,FALSE)*$N$323,0)</f>
        <v>-4853</v>
      </c>
      <c r="O304" s="246">
        <f>ROUND(VLOOKUP($A304,'Contribution Allocation_Report'!$A$9:$D$310,4,FALSE)*$O$323,0)</f>
        <v>-19958</v>
      </c>
      <c r="Q304" s="246">
        <f>+K304+VLOOKUP(A304,'Change in Proportion Layers'!$A$8:$I$321,3,FALSE)+VLOOKUP(A304,'Change in Proportion Layers'!$A$8:$V$321,10,FALSE)+VLOOKUP(A304,'Change in Proportion Layers'!$A$8:$V$321,16,FALSE)+VLOOKUP(A304,'Change in Proportion Layers'!$A$8:$V$321,21,FALSE)</f>
        <v>-71226</v>
      </c>
      <c r="R304" s="246">
        <f>+L304+VLOOKUP(A304,'Change in Proportion Layers'!$A$8:$V$321,4,FALSE)+VLOOKUP(A304,'Change in Proportion Layers'!$A$8:$V$321,11,FALSE)+VLOOKUP(A304,'Change in Proportion Layers'!$A$8:$V$321,17,FALSE)+VLOOKUP(A304,'Change in Proportion Layers'!$A$8:$V$321,22,FALSE)</f>
        <v>-45324</v>
      </c>
      <c r="S304" s="246">
        <f>+M304+VLOOKUP(A304,'Change in Proportion Layers'!$A$8:$V$321,5,FALSE)+VLOOKUP(A304,'Change in Proportion Layers'!$A$8:$V$321,12,FALSE)+VLOOKUP(A304,'Change in Proportion Layers'!$A$8:$V$321,18,FALSE)</f>
        <v>-26636</v>
      </c>
      <c r="T304" s="246">
        <f>+N304+VLOOKUP(A304,'Change in Proportion Layers'!$A$8:$V$321,6,FALSE)+VLOOKUP(A304,'Change in Proportion Layers'!$A$8:$V$321,13,FALSE)</f>
        <v>-10077</v>
      </c>
      <c r="U304" s="246">
        <f>+O304+VLOOKUP(A304,'Change in Proportion Layers'!$A$8:$V$321,7,FALSE)+1</f>
        <v>-49404</v>
      </c>
      <c r="W304" s="246">
        <f>('OPEB Amounts_Report'!G304-'OPEB Amounts_Report'!M304)</f>
        <v>-202667</v>
      </c>
      <c r="X304" s="157">
        <f>SUM(Q304:U304)-('OPEB Amounts_Report'!G304-'OPEB Amounts_Report'!M304)</f>
        <v>0</v>
      </c>
    </row>
    <row r="305" spans="1:25" s="217" customFormat="1">
      <c r="A305" s="237">
        <v>2442</v>
      </c>
      <c r="B305" s="238" t="s">
        <v>451</v>
      </c>
      <c r="C305" s="48">
        <f t="shared" ref="C305" si="40">+Q305</f>
        <v>5697</v>
      </c>
      <c r="D305" s="48">
        <f t="shared" ref="D305" si="41">+R305</f>
        <v>8599</v>
      </c>
      <c r="E305" s="48">
        <f t="shared" ref="E305" si="42">+S305</f>
        <v>10726</v>
      </c>
      <c r="F305" s="48">
        <f t="shared" ref="F305" si="43">+T305</f>
        <v>12968</v>
      </c>
      <c r="G305" s="48">
        <f t="shared" ref="G305" si="44">+U305</f>
        <v>10966</v>
      </c>
      <c r="I305" s="247"/>
      <c r="K305" s="246">
        <f>ROUND(VLOOKUP($A305,'Contribution Allocation_Report'!$A$9:$D$310,4,FALSE)*$K$323,0)</f>
        <v>-7828</v>
      </c>
      <c r="L305" s="246">
        <f>ROUND(VLOOKUP($A305,'Contribution Allocation_Report'!$A$9:$D$310,4,FALSE)*$L$323,0)</f>
        <v>-4926</v>
      </c>
      <c r="M305" s="246">
        <f>ROUND(VLOOKUP($A305,'Contribution Allocation_Report'!$A$9:$D$310,4,FALSE)*$M$323,0)</f>
        <v>-2799</v>
      </c>
      <c r="N305" s="246">
        <f>ROUND(VLOOKUP($A305,'Contribution Allocation_Report'!$A$9:$D$310,4,FALSE)*$N$323,0)</f>
        <v>-557</v>
      </c>
      <c r="O305" s="246">
        <f>ROUND(VLOOKUP($A305,'Contribution Allocation_Report'!$A$9:$D$310,4,FALSE)*$O$323,0)</f>
        <v>-2289</v>
      </c>
      <c r="Q305" s="246">
        <f>+K305+VLOOKUP(A305,'Change in Proportion Layers'!$A$8:$I$321,3,FALSE)+VLOOKUP(A305,'Change in Proportion Layers'!$A$8:$V$321,10,FALSE)+VLOOKUP(A305,'Change in Proportion Layers'!$A$8:$V$321,16,FALSE)+VLOOKUP(A305,'Change in Proportion Layers'!$A$8:$V$321,21,FALSE)</f>
        <v>5697</v>
      </c>
      <c r="R305" s="246">
        <f>+L305+VLOOKUP(A305,'Change in Proportion Layers'!$A$8:$V$321,4,FALSE)+VLOOKUP(A305,'Change in Proportion Layers'!$A$8:$V$321,11,FALSE)+VLOOKUP(A305,'Change in Proportion Layers'!$A$8:$V$321,17,FALSE)+VLOOKUP(A305,'Change in Proportion Layers'!$A$8:$V$321,22,FALSE)</f>
        <v>8599</v>
      </c>
      <c r="S305" s="246">
        <f>+M305+VLOOKUP(A305,'Change in Proportion Layers'!$A$8:$V$321,5,FALSE)+VLOOKUP(A305,'Change in Proportion Layers'!$A$8:$V$321,12,FALSE)+VLOOKUP(A305,'Change in Proportion Layers'!$A$8:$V$321,18,FALSE)</f>
        <v>10726</v>
      </c>
      <c r="T305" s="246">
        <f>+N305+VLOOKUP(A305,'Change in Proportion Layers'!$A$8:$V$321,6,FALSE)+VLOOKUP(A305,'Change in Proportion Layers'!$A$8:$V$321,13,FALSE)</f>
        <v>12968</v>
      </c>
      <c r="U305" s="246">
        <f>+O305+VLOOKUP(A305,'Change in Proportion Layers'!$A$8:$V$321,7,FALSE)-1</f>
        <v>10966</v>
      </c>
      <c r="W305" s="246">
        <f>('OPEB Amounts_Report'!G305-'OPEB Amounts_Report'!M305)</f>
        <v>48956</v>
      </c>
      <c r="X305" s="282">
        <f>SUM(Q305:U305)-('OPEB Amounts_Report'!G305-'OPEB Amounts_Report'!M305)</f>
        <v>0</v>
      </c>
    </row>
    <row r="306" spans="1:25" s="182" customFormat="1">
      <c r="A306" s="235">
        <v>30090</v>
      </c>
      <c r="B306" s="236" t="s">
        <v>290</v>
      </c>
      <c r="C306" s="245">
        <f t="shared" si="35"/>
        <v>-126500</v>
      </c>
      <c r="D306" s="245">
        <f t="shared" si="36"/>
        <v>-71012</v>
      </c>
      <c r="E306" s="245">
        <f t="shared" si="37"/>
        <v>-21926</v>
      </c>
      <c r="F306" s="245">
        <f t="shared" si="38"/>
        <v>36890</v>
      </c>
      <c r="G306" s="245">
        <f t="shared" si="39"/>
        <v>-13550</v>
      </c>
      <c r="I306" s="51"/>
      <c r="K306" s="156">
        <f>ROUND(VLOOKUP($A306,'Contribution Allocation_Report'!$A$9:$D$310,4,FALSE)*$K$323,0)</f>
        <v>-150566</v>
      </c>
      <c r="L306" s="156">
        <f>ROUND(VLOOKUP($A306,'Contribution Allocation_Report'!$A$9:$D$310,4,FALSE)*$L$323,0)</f>
        <v>-94752</v>
      </c>
      <c r="M306" s="156">
        <f>ROUND(VLOOKUP($A306,'Contribution Allocation_Report'!$A$9:$D$310,4,FALSE)*$M$323,0)</f>
        <v>-53836</v>
      </c>
      <c r="N306" s="156">
        <f>ROUND(VLOOKUP($A306,'Contribution Allocation_Report'!$A$9:$D$310,4,FALSE)*$N$323,0)</f>
        <v>-10705</v>
      </c>
      <c r="O306" s="246">
        <f>ROUND(VLOOKUP($A306,'Contribution Allocation_Report'!$A$9:$D$310,4,FALSE)*$O$323,0)</f>
        <v>-44028</v>
      </c>
      <c r="Q306" s="246">
        <f>+K306+VLOOKUP(A306,'Change in Proportion Layers'!$A$8:$I$321,3,FALSE)+VLOOKUP(A306,'Change in Proportion Layers'!$A$8:$V$321,10,FALSE)+VLOOKUP(A306,'Change in Proportion Layers'!$A$8:$V$321,16,FALSE)+VLOOKUP(A306,'Change in Proportion Layers'!$A$8:$V$321,21,FALSE)</f>
        <v>-126500</v>
      </c>
      <c r="R306" s="246">
        <f>+L306+VLOOKUP(A306,'Change in Proportion Layers'!$A$8:$V$321,4,FALSE)+VLOOKUP(A306,'Change in Proportion Layers'!$A$8:$V$321,11,FALSE)+VLOOKUP(A306,'Change in Proportion Layers'!$A$8:$V$321,17,FALSE)+VLOOKUP(A306,'Change in Proportion Layers'!$A$8:$V$321,22,FALSE)</f>
        <v>-71012</v>
      </c>
      <c r="S306" s="246">
        <f>+M306+VLOOKUP(A306,'Change in Proportion Layers'!$A$8:$V$321,5,FALSE)+VLOOKUP(A306,'Change in Proportion Layers'!$A$8:$V$321,12,FALSE)+VLOOKUP(A306,'Change in Proportion Layers'!$A$8:$V$321,18,FALSE)</f>
        <v>-21926</v>
      </c>
      <c r="T306" s="246">
        <f>+N306+VLOOKUP(A306,'Change in Proportion Layers'!$A$8:$V$321,6,FALSE)+VLOOKUP(A306,'Change in Proportion Layers'!$A$8:$V$321,13,FALSE)</f>
        <v>36890</v>
      </c>
      <c r="U306" s="246">
        <f>+O306+VLOOKUP(A306,'Change in Proportion Layers'!$A$8:$V$321,7,FALSE)</f>
        <v>-13550</v>
      </c>
      <c r="W306" s="246">
        <f>('OPEB Amounts_Report'!G306-'OPEB Amounts_Report'!M306)</f>
        <v>-196098</v>
      </c>
      <c r="X306" s="157">
        <f>SUM(Q306:U306)-('OPEB Amounts_Report'!G306-'OPEB Amounts_Report'!M306)</f>
        <v>0</v>
      </c>
    </row>
    <row r="307" spans="1:25" s="182" customFormat="1">
      <c r="A307" s="237">
        <v>29330</v>
      </c>
      <c r="B307" s="238" t="s">
        <v>291</v>
      </c>
      <c r="C307" s="48">
        <f t="shared" si="35"/>
        <v>-50778</v>
      </c>
      <c r="D307" s="48">
        <f t="shared" si="36"/>
        <v>-33437</v>
      </c>
      <c r="E307" s="48">
        <f t="shared" si="37"/>
        <v>-27220</v>
      </c>
      <c r="F307" s="48">
        <f t="shared" si="38"/>
        <v>-15203</v>
      </c>
      <c r="G307" s="48">
        <f t="shared" si="39"/>
        <v>-25258</v>
      </c>
      <c r="I307" s="51"/>
      <c r="K307" s="156">
        <f>ROUND(VLOOKUP($A307,'Contribution Allocation_Report'!$A$9:$D$310,4,FALSE)*$K$323,0)</f>
        <v>-53532</v>
      </c>
      <c r="L307" s="156">
        <f>ROUND(VLOOKUP($A307,'Contribution Allocation_Report'!$A$9:$D$310,4,FALSE)*$L$323,0)</f>
        <v>-33688</v>
      </c>
      <c r="M307" s="156">
        <f>ROUND(VLOOKUP($A307,'Contribution Allocation_Report'!$A$9:$D$310,4,FALSE)*$M$323,0)</f>
        <v>-19141</v>
      </c>
      <c r="N307" s="156">
        <f>ROUND(VLOOKUP($A307,'Contribution Allocation_Report'!$A$9:$D$310,4,FALSE)*$N$323,0)</f>
        <v>-3806</v>
      </c>
      <c r="O307" s="246">
        <f>ROUND(VLOOKUP($A307,'Contribution Allocation_Report'!$A$9:$D$310,4,FALSE)*$O$323,0)</f>
        <v>-15654</v>
      </c>
      <c r="Q307" s="246">
        <f>+K307+VLOOKUP(A307,'Change in Proportion Layers'!$A$8:$I$321,3,FALSE)+VLOOKUP(A307,'Change in Proportion Layers'!$A$8:$V$321,10,FALSE)+VLOOKUP(A307,'Change in Proportion Layers'!$A$8:$V$321,16,FALSE)+VLOOKUP(A307,'Change in Proportion Layers'!$A$8:$V$321,21,FALSE)</f>
        <v>-50778</v>
      </c>
      <c r="R307" s="246">
        <f>+L307+VLOOKUP(A307,'Change in Proportion Layers'!$A$8:$V$321,4,FALSE)+VLOOKUP(A307,'Change in Proportion Layers'!$A$8:$V$321,11,FALSE)+VLOOKUP(A307,'Change in Proportion Layers'!$A$8:$V$321,17,FALSE)+VLOOKUP(A307,'Change in Proportion Layers'!$A$8:$V$321,22,FALSE)</f>
        <v>-33437</v>
      </c>
      <c r="S307" s="246">
        <f>+M307+VLOOKUP(A307,'Change in Proportion Layers'!$A$8:$V$321,5,FALSE)+VLOOKUP(A307,'Change in Proportion Layers'!$A$8:$V$321,12,FALSE)+VLOOKUP(A307,'Change in Proportion Layers'!$A$8:$V$321,18,FALSE)</f>
        <v>-27220</v>
      </c>
      <c r="T307" s="246">
        <f>+N307+VLOOKUP(A307,'Change in Proportion Layers'!$A$8:$V$321,6,FALSE)+VLOOKUP(A307,'Change in Proportion Layers'!$A$8:$V$321,13,FALSE)</f>
        <v>-15203</v>
      </c>
      <c r="U307" s="246">
        <f>+O307+VLOOKUP(A307,'Change in Proportion Layers'!$A$8:$V$321,7,FALSE)-2</f>
        <v>-25258</v>
      </c>
      <c r="W307" s="246">
        <f>('OPEB Amounts_Report'!G307-'OPEB Amounts_Report'!M307)</f>
        <v>-151896</v>
      </c>
      <c r="X307" s="157">
        <f>SUM(Q307:U307)-('OPEB Amounts_Report'!G307-'OPEB Amounts_Report'!M307)</f>
        <v>0</v>
      </c>
    </row>
    <row r="308" spans="1:25" s="182" customFormat="1">
      <c r="A308" s="235">
        <v>12038</v>
      </c>
      <c r="B308" s="236" t="s">
        <v>292</v>
      </c>
      <c r="C308" s="245">
        <f t="shared" si="35"/>
        <v>-853361</v>
      </c>
      <c r="D308" s="245">
        <f t="shared" si="36"/>
        <v>-430201</v>
      </c>
      <c r="E308" s="245">
        <f t="shared" si="37"/>
        <v>-156537</v>
      </c>
      <c r="F308" s="245">
        <f t="shared" si="38"/>
        <v>142726</v>
      </c>
      <c r="G308" s="245">
        <f t="shared" si="39"/>
        <v>-213905</v>
      </c>
      <c r="I308" s="51"/>
      <c r="K308" s="156">
        <f>ROUND(VLOOKUP($A308,'Contribution Allocation_Report'!$A$9:$D$310,4,FALSE)*$K$323,0)</f>
        <v>-1167683</v>
      </c>
      <c r="L308" s="156">
        <f>ROUND(VLOOKUP($A308,'Contribution Allocation_Report'!$A$9:$D$310,4,FALSE)*$L$323,0)</f>
        <v>-734830</v>
      </c>
      <c r="M308" s="156">
        <f>ROUND(VLOOKUP($A308,'Contribution Allocation_Report'!$A$9:$D$310,4,FALSE)*$M$323,0)</f>
        <v>-417517</v>
      </c>
      <c r="N308" s="156">
        <f>ROUND(VLOOKUP($A308,'Contribution Allocation_Report'!$A$9:$D$310,4,FALSE)*$N$323,0)</f>
        <v>-83022</v>
      </c>
      <c r="O308" s="246">
        <f>ROUND(VLOOKUP($A308,'Contribution Allocation_Report'!$A$9:$D$310,4,FALSE)*$O$323,0)</f>
        <v>-341452</v>
      </c>
      <c r="Q308" s="246">
        <f>+K308+VLOOKUP(A308,'Change in Proportion Layers'!$A$8:$I$321,3,FALSE)+VLOOKUP(A308,'Change in Proportion Layers'!$A$8:$V$321,10,FALSE)+VLOOKUP(A308,'Change in Proportion Layers'!$A$8:$V$321,16,FALSE)+VLOOKUP(A308,'Change in Proportion Layers'!$A$8:$V$321,21,FALSE)</f>
        <v>-853361</v>
      </c>
      <c r="R308" s="246">
        <f>+L308+VLOOKUP(A308,'Change in Proportion Layers'!$A$8:$V$321,4,FALSE)+VLOOKUP(A308,'Change in Proportion Layers'!$A$8:$V$321,11,FALSE)+VLOOKUP(A308,'Change in Proportion Layers'!$A$8:$V$321,17,FALSE)+VLOOKUP(A308,'Change in Proportion Layers'!$A$8:$V$321,22,FALSE)</f>
        <v>-430201</v>
      </c>
      <c r="S308" s="246">
        <f>+M308+VLOOKUP(A308,'Change in Proportion Layers'!$A$8:$V$321,5,FALSE)+VLOOKUP(A308,'Change in Proportion Layers'!$A$8:$V$321,12,FALSE)+VLOOKUP(A308,'Change in Proportion Layers'!$A$8:$V$321,18,FALSE)</f>
        <v>-156537</v>
      </c>
      <c r="T308" s="246">
        <f>+N308+VLOOKUP(A308,'Change in Proportion Layers'!$A$8:$V$321,6,FALSE)+VLOOKUP(A308,'Change in Proportion Layers'!$A$8:$V$321,13,FALSE)</f>
        <v>142726</v>
      </c>
      <c r="U308" s="246">
        <f>+O308+VLOOKUP(A308,'Change in Proportion Layers'!$A$8:$V$321,7,FALSE)</f>
        <v>-213905</v>
      </c>
      <c r="W308" s="246">
        <f>('OPEB Amounts_Report'!G308-'OPEB Amounts_Report'!M308)</f>
        <v>-1511278</v>
      </c>
      <c r="X308" s="157">
        <f>SUM(Q308:U308)-('OPEB Amounts_Report'!G308-'OPEB Amounts_Report'!M308)</f>
        <v>0</v>
      </c>
    </row>
    <row r="309" spans="1:25" s="182" customFormat="1">
      <c r="A309" s="237">
        <v>8099</v>
      </c>
      <c r="B309" s="238" t="s">
        <v>293</v>
      </c>
      <c r="C309" s="48">
        <f t="shared" si="35"/>
        <v>-2298138</v>
      </c>
      <c r="D309" s="48">
        <f t="shared" si="36"/>
        <v>-1533174</v>
      </c>
      <c r="E309" s="48">
        <f t="shared" si="37"/>
        <v>-793923</v>
      </c>
      <c r="F309" s="48">
        <f t="shared" si="38"/>
        <v>-226662</v>
      </c>
      <c r="G309" s="48">
        <f t="shared" si="39"/>
        <v>-489753</v>
      </c>
      <c r="I309" s="51"/>
      <c r="K309" s="156">
        <f>ROUND(VLOOKUP($A309,'Contribution Allocation_Report'!$A$9:$D$310,4,FALSE)*$K$323,0)</f>
        <v>-1833885</v>
      </c>
      <c r="L309" s="156">
        <f>ROUND(VLOOKUP($A309,'Contribution Allocation_Report'!$A$9:$D$310,4,FALSE)*$L$323,0)</f>
        <v>-1154075</v>
      </c>
      <c r="M309" s="156">
        <f>ROUND(VLOOKUP($A309,'Contribution Allocation_Report'!$A$9:$D$310,4,FALSE)*$M$323,0)</f>
        <v>-655724</v>
      </c>
      <c r="N309" s="156">
        <f>ROUND(VLOOKUP($A309,'Contribution Allocation_Report'!$A$9:$D$310,4,FALSE)*$N$323,0)</f>
        <v>-130389</v>
      </c>
      <c r="O309" s="246">
        <f>ROUND(VLOOKUP($A309,'Contribution Allocation_Report'!$A$9:$D$310,4,FALSE)*$O$323,0)</f>
        <v>-536261</v>
      </c>
      <c r="Q309" s="246">
        <f>+K309+VLOOKUP(A309,'Change in Proportion Layers'!$A$8:$I$321,3,FALSE)+VLOOKUP(A309,'Change in Proportion Layers'!$A$8:$V$321,10,FALSE)+VLOOKUP(A309,'Change in Proportion Layers'!$A$8:$V$321,16,FALSE)+VLOOKUP(A309,'Change in Proportion Layers'!$A$8:$V$321,21,FALSE)</f>
        <v>-2298138</v>
      </c>
      <c r="R309" s="246">
        <f>+L309+VLOOKUP(A309,'Change in Proportion Layers'!$A$8:$V$321,4,FALSE)+VLOOKUP(A309,'Change in Proportion Layers'!$A$8:$V$321,11,FALSE)+VLOOKUP(A309,'Change in Proportion Layers'!$A$8:$V$321,17,FALSE)+VLOOKUP(A309,'Change in Proportion Layers'!$A$8:$V$321,22,FALSE)</f>
        <v>-1533174</v>
      </c>
      <c r="S309" s="246">
        <f>+M309+VLOOKUP(A309,'Change in Proportion Layers'!$A$8:$V$321,5,FALSE)+VLOOKUP(A309,'Change in Proportion Layers'!$A$8:$V$321,12,FALSE)+VLOOKUP(A309,'Change in Proportion Layers'!$A$8:$V$321,18,FALSE)</f>
        <v>-793923</v>
      </c>
      <c r="T309" s="246">
        <f>+N309+VLOOKUP(A309,'Change in Proportion Layers'!$A$8:$V$321,6,FALSE)+VLOOKUP(A309,'Change in Proportion Layers'!$A$8:$V$321,13,FALSE)</f>
        <v>-226662</v>
      </c>
      <c r="U309" s="246">
        <f>+O309+VLOOKUP(A309,'Change in Proportion Layers'!$A$8:$V$321,7,FALSE)-2</f>
        <v>-489753</v>
      </c>
      <c r="W309" s="246">
        <f>('OPEB Amounts_Report'!G309-'OPEB Amounts_Report'!M309)</f>
        <v>-5341650</v>
      </c>
      <c r="X309" s="157">
        <f>SUM(Q309:U309)-('OPEB Amounts_Report'!G309-'OPEB Amounts_Report'!M309)</f>
        <v>0</v>
      </c>
      <c r="Y309" s="182" t="s">
        <v>437</v>
      </c>
    </row>
    <row r="310" spans="1:25" s="182" customFormat="1">
      <c r="A310" s="235">
        <v>2417</v>
      </c>
      <c r="B310" s="236" t="s">
        <v>294</v>
      </c>
      <c r="C310" s="245">
        <f t="shared" si="35"/>
        <v>-26567</v>
      </c>
      <c r="D310" s="245">
        <f t="shared" si="36"/>
        <v>-12206</v>
      </c>
      <c r="E310" s="245">
        <f t="shared" si="37"/>
        <v>-5153</v>
      </c>
      <c r="F310" s="245">
        <f t="shared" si="38"/>
        <v>692</v>
      </c>
      <c r="G310" s="245">
        <f t="shared" si="39"/>
        <v>-6103</v>
      </c>
      <c r="I310" s="51"/>
      <c r="K310" s="156">
        <f>ROUND(VLOOKUP($A310,'Contribution Allocation_Report'!$A$9:$D$310,4,FALSE)*$K$323,0)</f>
        <v>-39329</v>
      </c>
      <c r="L310" s="156">
        <f>ROUND(VLOOKUP($A310,'Contribution Allocation_Report'!$A$9:$D$310,4,FALSE)*$L$323,0)</f>
        <v>-24750</v>
      </c>
      <c r="M310" s="156">
        <f>ROUND(VLOOKUP($A310,'Contribution Allocation_Report'!$A$9:$D$310,4,FALSE)*$M$323,0)</f>
        <v>-14062</v>
      </c>
      <c r="N310" s="246">
        <f>ROUND(VLOOKUP($A310,'Contribution Allocation_Report'!$A$9:$D$310,4,FALSE)*$N$323,0)</f>
        <v>-2796</v>
      </c>
      <c r="O310" s="246">
        <f>ROUND(VLOOKUP($A310,'Contribution Allocation_Report'!$A$9:$D$310,4,FALSE)*$O$323,0)</f>
        <v>-11501</v>
      </c>
      <c r="Q310" s="246">
        <f>+K310+VLOOKUP(A310,'Change in Proportion Layers'!$A$8:$I$321,3,FALSE)+VLOOKUP(A310,'Change in Proportion Layers'!$A$8:$V$321,10,FALSE)+VLOOKUP(A310,'Change in Proportion Layers'!$A$8:$V$321,16,FALSE)+VLOOKUP(A310,'Change in Proportion Layers'!$A$8:$V$321,21,FALSE)</f>
        <v>-26567</v>
      </c>
      <c r="R310" s="246">
        <f>+L310+VLOOKUP(A310,'Change in Proportion Layers'!$A$8:$V$321,4,FALSE)+VLOOKUP(A310,'Change in Proportion Layers'!$A$8:$V$321,11,FALSE)+VLOOKUP(A310,'Change in Proportion Layers'!$A$8:$V$321,17,FALSE)+VLOOKUP(A310,'Change in Proportion Layers'!$A$8:$V$321,22,FALSE)</f>
        <v>-12206</v>
      </c>
      <c r="S310" s="246">
        <f>+M310+VLOOKUP(A310,'Change in Proportion Layers'!$A$8:$V$321,5,FALSE)+VLOOKUP(A310,'Change in Proportion Layers'!$A$8:$V$321,12,FALSE)+VLOOKUP(A310,'Change in Proportion Layers'!$A$8:$V$321,18,FALSE)</f>
        <v>-5153</v>
      </c>
      <c r="T310" s="246">
        <f>+N310+VLOOKUP(A310,'Change in Proportion Layers'!$A$8:$V$321,6,FALSE)+VLOOKUP(A310,'Change in Proportion Layers'!$A$8:$V$321,13,FALSE)</f>
        <v>692</v>
      </c>
      <c r="U310" s="246">
        <f>+O310+VLOOKUP(A310,'Change in Proportion Layers'!$A$8:$V$321,7,FALSE)-1</f>
        <v>-6103</v>
      </c>
      <c r="W310" s="246">
        <f>('OPEB Amounts_Report'!G310-'OPEB Amounts_Report'!M310)</f>
        <v>-49337</v>
      </c>
      <c r="X310" s="157">
        <f>SUM(Q310:U310)-('OPEB Amounts_Report'!G310-'OPEB Amounts_Report'!M310)</f>
        <v>0</v>
      </c>
    </row>
    <row r="311" spans="1:25" s="182" customFormat="1">
      <c r="A311" s="237">
        <v>13142</v>
      </c>
      <c r="B311" s="238" t="s">
        <v>295</v>
      </c>
      <c r="C311" s="48">
        <f t="shared" si="35"/>
        <v>-1162550</v>
      </c>
      <c r="D311" s="48">
        <f t="shared" si="36"/>
        <v>-734164</v>
      </c>
      <c r="E311" s="48">
        <f t="shared" si="37"/>
        <v>-390803</v>
      </c>
      <c r="F311" s="48">
        <f t="shared" si="38"/>
        <v>-104559</v>
      </c>
      <c r="G311" s="48">
        <f t="shared" si="39"/>
        <v>-370938</v>
      </c>
      <c r="I311" s="51"/>
      <c r="K311" s="156">
        <f>ROUND(VLOOKUP($A311,'Contribution Allocation_Report'!$A$9:$D$310,4,FALSE)*$K$323,0)</f>
        <v>-1091275</v>
      </c>
      <c r="L311" s="156">
        <f>ROUND(VLOOKUP($A311,'Contribution Allocation_Report'!$A$9:$D$310,4,FALSE)*$L$323,0)</f>
        <v>-686746</v>
      </c>
      <c r="M311" s="156">
        <f>ROUND(VLOOKUP($A311,'Contribution Allocation_Report'!$A$9:$D$310,4,FALSE)*$M$323,0)</f>
        <v>-390196</v>
      </c>
      <c r="N311" s="246">
        <f>ROUND(VLOOKUP($A311,'Contribution Allocation_Report'!$A$9:$D$310,4,FALSE)*$N$323,0)</f>
        <v>-77590</v>
      </c>
      <c r="O311" s="246">
        <f>ROUND(VLOOKUP($A311,'Contribution Allocation_Report'!$A$9:$D$310,4,FALSE)*$O$323,0)</f>
        <v>-319109</v>
      </c>
      <c r="Q311" s="246">
        <f>+K311+VLOOKUP(A311,'Change in Proportion Layers'!$A$8:$I$321,3,FALSE)+VLOOKUP(A311,'Change in Proportion Layers'!$A$8:$V$321,10,FALSE)+VLOOKUP(A311,'Change in Proportion Layers'!$A$8:$V$321,16,FALSE)+VLOOKUP(A311,'Change in Proportion Layers'!$A$8:$V$321,21,FALSE)</f>
        <v>-1162550</v>
      </c>
      <c r="R311" s="246">
        <f>+L311+VLOOKUP(A311,'Change in Proportion Layers'!$A$8:$V$321,4,FALSE)+VLOOKUP(A311,'Change in Proportion Layers'!$A$8:$V$321,11,FALSE)+VLOOKUP(A311,'Change in Proportion Layers'!$A$8:$V$321,17,FALSE)+VLOOKUP(A311,'Change in Proportion Layers'!$A$8:$V$321,22,FALSE)</f>
        <v>-734164</v>
      </c>
      <c r="S311" s="246">
        <f>+M311+VLOOKUP(A311,'Change in Proportion Layers'!$A$8:$V$321,5,FALSE)+VLOOKUP(A311,'Change in Proportion Layers'!$A$8:$V$321,12,FALSE)+VLOOKUP(A311,'Change in Proportion Layers'!$A$8:$V$321,18,FALSE)</f>
        <v>-390803</v>
      </c>
      <c r="T311" s="246">
        <f>+N311+VLOOKUP(A311,'Change in Proportion Layers'!$A$8:$V$321,6,FALSE)+VLOOKUP(A311,'Change in Proportion Layers'!$A$8:$V$321,13,FALSE)</f>
        <v>-104559</v>
      </c>
      <c r="U311" s="246">
        <f>+O311+VLOOKUP(A311,'Change in Proportion Layers'!$A$8:$V$321,7,FALSE)</f>
        <v>-370938</v>
      </c>
      <c r="W311" s="246">
        <f>('OPEB Amounts_Report'!G311-'OPEB Amounts_Report'!M311)</f>
        <v>-2763014</v>
      </c>
      <c r="X311" s="157">
        <f>SUM(Q311:U311)-('OPEB Amounts_Report'!G311-'OPEB Amounts_Report'!M311)</f>
        <v>0</v>
      </c>
    </row>
    <row r="312" spans="1:25" s="217" customFormat="1">
      <c r="A312" s="235">
        <v>17334</v>
      </c>
      <c r="B312" s="236" t="s">
        <v>453</v>
      </c>
      <c r="C312" s="245">
        <f t="shared" ref="C312" si="45">+Q312</f>
        <v>-31515</v>
      </c>
      <c r="D312" s="245">
        <f t="shared" ref="D312" si="46">+R312</f>
        <v>-32142</v>
      </c>
      <c r="E312" s="245">
        <f t="shared" ref="E312" si="47">+S312</f>
        <v>-31901</v>
      </c>
      <c r="F312" s="245">
        <f t="shared" ref="F312" si="48">+T312</f>
        <v>-28375</v>
      </c>
      <c r="G312" s="245">
        <f t="shared" ref="G312" si="49">+U312</f>
        <v>-16508</v>
      </c>
      <c r="I312" s="247"/>
      <c r="K312" s="246">
        <v>0</v>
      </c>
      <c r="L312" s="246">
        <v>0</v>
      </c>
      <c r="M312" s="246">
        <v>0</v>
      </c>
      <c r="N312" s="246">
        <v>0</v>
      </c>
      <c r="O312" s="246">
        <v>0</v>
      </c>
      <c r="Q312" s="246">
        <f>+K312+VLOOKUP(A312,'Change in Proportion Layers'!$A$8:$I$321,3,FALSE)+VLOOKUP(A312,'Change in Proportion Layers'!$A$8:$V$321,10,FALSE)+VLOOKUP(A312,'Change in Proportion Layers'!$A$8:$V$321,16,FALSE)+VLOOKUP(A312,'Change in Proportion Layers'!$A$8:$V$321,21,FALSE)</f>
        <v>-31515</v>
      </c>
      <c r="R312" s="246">
        <f>+L312+VLOOKUP(A312,'Change in Proportion Layers'!$A$8:$V$321,4,FALSE)+VLOOKUP(A312,'Change in Proportion Layers'!$A$8:$V$321,11,FALSE)+VLOOKUP(A312,'Change in Proportion Layers'!$A$8:$V$321,17,FALSE)+VLOOKUP(A312,'Change in Proportion Layers'!$A$8:$V$321,22,FALSE)</f>
        <v>-32142</v>
      </c>
      <c r="S312" s="246">
        <f>+M312+VLOOKUP(A312,'Change in Proportion Layers'!$A$8:$V$321,5,FALSE)+VLOOKUP(A312,'Change in Proportion Layers'!$A$8:$V$321,12,FALSE)+VLOOKUP(A312,'Change in Proportion Layers'!$A$8:$V$321,18,FALSE)</f>
        <v>-31901</v>
      </c>
      <c r="T312" s="246">
        <f>+N312+VLOOKUP(A312,'Change in Proportion Layers'!$A$8:$V$321,6,FALSE)+VLOOKUP(A312,'Change in Proportion Layers'!$A$8:$V$321,13,FALSE)</f>
        <v>-28375</v>
      </c>
      <c r="U312" s="246">
        <f>+O312+VLOOKUP(A312,'Change in Proportion Layers'!$A$8:$V$321,7,FALSE)</f>
        <v>-16508</v>
      </c>
      <c r="W312" s="246">
        <f>('OPEB Amounts_Report'!G312-'OPEB Amounts_Report'!M312)</f>
        <v>-140441</v>
      </c>
      <c r="X312" s="282">
        <f>SUM(Q312:U312)-('OPEB Amounts_Report'!G312-'OPEB Amounts_Report'!M312)</f>
        <v>0</v>
      </c>
    </row>
    <row r="313" spans="1:25" s="182" customFormat="1">
      <c r="A313" s="237">
        <v>2403</v>
      </c>
      <c r="B313" s="238" t="s">
        <v>475</v>
      </c>
      <c r="C313" s="48">
        <f t="shared" si="35"/>
        <v>179</v>
      </c>
      <c r="D313" s="48">
        <f t="shared" si="36"/>
        <v>-20435</v>
      </c>
      <c r="E313" s="48">
        <f t="shared" si="37"/>
        <v>-47002</v>
      </c>
      <c r="F313" s="48">
        <f t="shared" si="38"/>
        <v>0</v>
      </c>
      <c r="G313" s="48">
        <f t="shared" si="39"/>
        <v>0</v>
      </c>
      <c r="I313" s="51"/>
      <c r="K313" s="246">
        <v>0</v>
      </c>
      <c r="L313" s="246">
        <v>0</v>
      </c>
      <c r="M313" s="246">
        <v>0</v>
      </c>
      <c r="N313" s="246">
        <v>0</v>
      </c>
      <c r="O313" s="246">
        <v>0</v>
      </c>
      <c r="Q313" s="246">
        <f>+K313+VLOOKUP(A313,'Change in Proportion Layers'!$A$8:$I$321,3,FALSE)+VLOOKUP(A313,'Change in Proportion Layers'!$A$8:$V$321,10,FALSE)+VLOOKUP(A313,'Change in Proportion Layers'!$A$8:$V$321,16,FALSE)+VLOOKUP(A313,'Change in Proportion Layers'!$A$8:$V$321,21,FALSE)</f>
        <v>179</v>
      </c>
      <c r="R313" s="246">
        <f>+L313+VLOOKUP(A313,'Change in Proportion Layers'!$A$8:$V$321,4,FALSE)+VLOOKUP(A313,'Change in Proportion Layers'!$A$8:$V$321,11,FALSE)+VLOOKUP(A313,'Change in Proportion Layers'!$A$8:$V$321,17,FALSE)+VLOOKUP(A313,'Change in Proportion Layers'!$A$8:$V$321,22,FALSE)</f>
        <v>-20435</v>
      </c>
      <c r="S313" s="246">
        <f>+M313+VLOOKUP(A313,'Change in Proportion Layers'!$A$8:$V$321,5,FALSE)+VLOOKUP(A313,'Change in Proportion Layers'!$A$8:$V$321,12,FALSE)+VLOOKUP(A313,'Change in Proportion Layers'!$A$8:$V$321,18,FALSE)</f>
        <v>-47002</v>
      </c>
      <c r="T313" s="246">
        <f>+N313+VLOOKUP(A313,'Change in Proportion Layers'!$A$8:$V$321,6,FALSE)+VLOOKUP(A313,'Change in Proportion Layers'!$A$8:$V$321,13,FALSE)</f>
        <v>0</v>
      </c>
      <c r="U313" s="246">
        <f>+O313+VLOOKUP(A313,'Change in Proportion Layers'!$A$8:$V$321,7,FALSE)</f>
        <v>0</v>
      </c>
      <c r="W313" s="246">
        <f>('OPEB Amounts_Report'!G313-'OPEB Amounts_Report'!M313)</f>
        <v>-67258</v>
      </c>
      <c r="X313" s="157">
        <f>SUM(Q313:U313)-('OPEB Amounts_Report'!G313-'OPEB Amounts_Report'!M313)</f>
        <v>0</v>
      </c>
    </row>
    <row r="314" spans="1:25" s="182" customFormat="1">
      <c r="A314" s="235">
        <v>16358</v>
      </c>
      <c r="B314" s="236" t="s">
        <v>474</v>
      </c>
      <c r="C314" s="245">
        <f t="shared" si="35"/>
        <v>-187729</v>
      </c>
      <c r="D314" s="245">
        <f t="shared" si="36"/>
        <v>-188138</v>
      </c>
      <c r="E314" s="245">
        <f t="shared" si="37"/>
        <v>-121078</v>
      </c>
      <c r="F314" s="245">
        <f t="shared" si="38"/>
        <v>0</v>
      </c>
      <c r="G314" s="245">
        <f t="shared" si="39"/>
        <v>0</v>
      </c>
      <c r="I314" s="51"/>
      <c r="K314" s="246">
        <v>0</v>
      </c>
      <c r="L314" s="246">
        <v>0</v>
      </c>
      <c r="M314" s="246">
        <v>0</v>
      </c>
      <c r="N314" s="246">
        <v>0</v>
      </c>
      <c r="O314" s="246">
        <v>0</v>
      </c>
      <c r="Q314" s="246">
        <f>+K314+VLOOKUP(A314,'Change in Proportion Layers'!$A$8:$I$321,3,FALSE)+VLOOKUP(A314,'Change in Proportion Layers'!$A$8:$V$321,10,FALSE)+VLOOKUP(A314,'Change in Proportion Layers'!$A$8:$V$321,16,FALSE)+VLOOKUP(A314,'Change in Proportion Layers'!$A$8:$V$321,21,FALSE)</f>
        <v>-187729</v>
      </c>
      <c r="R314" s="246">
        <f>+L314+VLOOKUP(A314,'Change in Proportion Layers'!$A$8:$V$321,4,FALSE)+VLOOKUP(A314,'Change in Proportion Layers'!$A$8:$V$321,11,FALSE)+VLOOKUP(A314,'Change in Proportion Layers'!$A$8:$V$321,17,FALSE)+VLOOKUP(A314,'Change in Proportion Layers'!$A$8:$V$321,22,FALSE)</f>
        <v>-188138</v>
      </c>
      <c r="S314" s="246">
        <f>+M314+VLOOKUP(A314,'Change in Proportion Layers'!$A$8:$V$321,5,FALSE)+VLOOKUP(A314,'Change in Proportion Layers'!$A$8:$V$321,12,FALSE)+VLOOKUP(A314,'Change in Proportion Layers'!$A$8:$V$321,18,FALSE)</f>
        <v>-121078</v>
      </c>
      <c r="T314" s="246">
        <f>+N314+VLOOKUP(A314,'Change in Proportion Layers'!$A$8:$V$321,6,FALSE)+VLOOKUP(A314,'Change in Proportion Layers'!$A$8:$V$321,13,FALSE)</f>
        <v>0</v>
      </c>
      <c r="U314" s="246">
        <f>+O314+VLOOKUP(A314,'Change in Proportion Layers'!$A$8:$V$321,7,FALSE)</f>
        <v>0</v>
      </c>
      <c r="W314" s="246">
        <f>('OPEB Amounts_Report'!G314-'OPEB Amounts_Report'!M314)</f>
        <v>-496945</v>
      </c>
      <c r="X314" s="157">
        <f>SUM(Q314:U314)-('OPEB Amounts_Report'!G314-'OPEB Amounts_Report'!M314)</f>
        <v>0</v>
      </c>
    </row>
    <row r="315" spans="1:25" s="182" customFormat="1">
      <c r="A315" s="237">
        <v>2357</v>
      </c>
      <c r="B315" s="238" t="s">
        <v>473</v>
      </c>
      <c r="C315" s="48">
        <f t="shared" si="35"/>
        <v>-101126</v>
      </c>
      <c r="D315" s="48">
        <f t="shared" si="36"/>
        <v>-97505</v>
      </c>
      <c r="E315" s="48">
        <f t="shared" si="37"/>
        <v>-56440</v>
      </c>
      <c r="F315" s="48">
        <f t="shared" si="38"/>
        <v>0</v>
      </c>
      <c r="G315" s="48">
        <f t="shared" si="39"/>
        <v>0</v>
      </c>
      <c r="I315" s="51"/>
      <c r="K315" s="246">
        <v>0</v>
      </c>
      <c r="L315" s="246">
        <v>0</v>
      </c>
      <c r="M315" s="246">
        <v>0</v>
      </c>
      <c r="N315" s="246">
        <v>0</v>
      </c>
      <c r="O315" s="246">
        <v>0</v>
      </c>
      <c r="Q315" s="246">
        <f>+K315+VLOOKUP(A315,'Change in Proportion Layers'!$A$8:$I$321,3,FALSE)+VLOOKUP(A315,'Change in Proportion Layers'!$A$8:$V$321,10,FALSE)+VLOOKUP(A315,'Change in Proportion Layers'!$A$8:$V$321,16,FALSE)+VLOOKUP(A315,'Change in Proportion Layers'!$A$8:$V$321,21,FALSE)</f>
        <v>-101126</v>
      </c>
      <c r="R315" s="246">
        <f>+L315+VLOOKUP(A315,'Change in Proportion Layers'!$A$8:$V$321,4,FALSE)+VLOOKUP(A315,'Change in Proportion Layers'!$A$8:$V$321,11,FALSE)+VLOOKUP(A315,'Change in Proportion Layers'!$A$8:$V$321,17,FALSE)+VLOOKUP(A315,'Change in Proportion Layers'!$A$8:$V$321,22,FALSE)</f>
        <v>-97505</v>
      </c>
      <c r="S315" s="246">
        <f>+M315+VLOOKUP(A315,'Change in Proportion Layers'!$A$8:$V$321,5,FALSE)+VLOOKUP(A315,'Change in Proportion Layers'!$A$8:$V$321,12,FALSE)+VLOOKUP(A315,'Change in Proportion Layers'!$A$8:$V$321,18,FALSE)</f>
        <v>-56440</v>
      </c>
      <c r="T315" s="246">
        <f>+N315+VLOOKUP(A315,'Change in Proportion Layers'!$A$8:$V$321,6,FALSE)+VLOOKUP(A315,'Change in Proportion Layers'!$A$8:$V$321,13,FALSE)</f>
        <v>0</v>
      </c>
      <c r="U315" s="246">
        <f>+O315+VLOOKUP(A315,'Change in Proportion Layers'!$A$8:$V$321,7,FALSE)</f>
        <v>0</v>
      </c>
      <c r="W315" s="246">
        <f>('OPEB Amounts_Report'!G315-'OPEB Amounts_Report'!M315)</f>
        <v>-255071</v>
      </c>
      <c r="X315" s="157">
        <f>SUM(Q315:U315)-('OPEB Amounts_Report'!G315-'OPEB Amounts_Report'!M315)</f>
        <v>0</v>
      </c>
    </row>
    <row r="316" spans="1:25" s="8" customFormat="1">
      <c r="A316" s="235">
        <v>16357</v>
      </c>
      <c r="B316" s="236" t="s">
        <v>472</v>
      </c>
      <c r="C316" s="245">
        <f t="shared" si="35"/>
        <v>-177304</v>
      </c>
      <c r="D316" s="245">
        <f t="shared" si="36"/>
        <v>-160368</v>
      </c>
      <c r="E316" s="245">
        <f t="shared" si="37"/>
        <v>-74761</v>
      </c>
      <c r="F316" s="245">
        <f t="shared" si="38"/>
        <v>0</v>
      </c>
      <c r="G316" s="245">
        <f t="shared" si="39"/>
        <v>0</v>
      </c>
      <c r="I316" s="51"/>
      <c r="K316" s="246">
        <v>0</v>
      </c>
      <c r="L316" s="246">
        <v>0</v>
      </c>
      <c r="M316" s="246">
        <v>0</v>
      </c>
      <c r="N316" s="246">
        <v>0</v>
      </c>
      <c r="O316" s="246">
        <v>0</v>
      </c>
      <c r="Q316" s="246">
        <f>+K316+VLOOKUP(A316,'Change in Proportion Layers'!$A$8:$I$321,3,FALSE)+VLOOKUP(A316,'Change in Proportion Layers'!$A$8:$V$321,10,FALSE)+VLOOKUP(A316,'Change in Proportion Layers'!$A$8:$V$321,16,FALSE)+VLOOKUP(A316,'Change in Proportion Layers'!$A$8:$V$321,21,FALSE)</f>
        <v>-177304</v>
      </c>
      <c r="R316" s="246">
        <f>+L316+VLOOKUP(A316,'Change in Proportion Layers'!$A$8:$V$321,4,FALSE)+VLOOKUP(A316,'Change in Proportion Layers'!$A$8:$V$321,11,FALSE)+VLOOKUP(A316,'Change in Proportion Layers'!$A$8:$V$321,17,FALSE)+VLOOKUP(A316,'Change in Proportion Layers'!$A$8:$V$321,22,FALSE)</f>
        <v>-160368</v>
      </c>
      <c r="S316" s="246">
        <f>+M316+VLOOKUP(A316,'Change in Proportion Layers'!$A$8:$V$321,5,FALSE)+VLOOKUP(A316,'Change in Proportion Layers'!$A$8:$V$321,12,FALSE)+VLOOKUP(A316,'Change in Proportion Layers'!$A$8:$V$321,18,FALSE)</f>
        <v>-74761</v>
      </c>
      <c r="T316" s="246">
        <f>+N316+VLOOKUP(A316,'Change in Proportion Layers'!$A$8:$V$321,6,FALSE)+VLOOKUP(A316,'Change in Proportion Layers'!$A$8:$V$321,13,FALSE)</f>
        <v>0</v>
      </c>
      <c r="U316" s="246">
        <f>+O316+VLOOKUP(A316,'Change in Proportion Layers'!$A$8:$V$321,7,FALSE)</f>
        <v>0</v>
      </c>
      <c r="V316" s="182"/>
      <c r="W316" s="246">
        <f>('OPEB Amounts_Report'!G316-'OPEB Amounts_Report'!M316)</f>
        <v>-412433</v>
      </c>
      <c r="X316" s="157">
        <f>SUM(Q316:U316)-('OPEB Amounts_Report'!G316-'OPEB Amounts_Report'!M316)</f>
        <v>0</v>
      </c>
    </row>
    <row r="317" spans="1:25" s="8" customFormat="1">
      <c r="A317" s="237">
        <v>7339</v>
      </c>
      <c r="B317" s="238" t="s">
        <v>471</v>
      </c>
      <c r="C317" s="48">
        <f t="shared" si="35"/>
        <v>-126242</v>
      </c>
      <c r="D317" s="48">
        <f t="shared" si="36"/>
        <v>-123875</v>
      </c>
      <c r="E317" s="48">
        <f t="shared" si="37"/>
        <v>-75382</v>
      </c>
      <c r="F317" s="48">
        <f t="shared" si="38"/>
        <v>0</v>
      </c>
      <c r="G317" s="48">
        <f t="shared" si="39"/>
        <v>0</v>
      </c>
      <c r="I317" s="51"/>
      <c r="K317" s="246">
        <v>0</v>
      </c>
      <c r="L317" s="246">
        <v>0</v>
      </c>
      <c r="M317" s="246">
        <v>0</v>
      </c>
      <c r="N317" s="246">
        <v>0</v>
      </c>
      <c r="O317" s="246">
        <v>0</v>
      </c>
      <c r="Q317" s="246">
        <f>+K317+VLOOKUP(A317,'Change in Proportion Layers'!$A$8:$I$321,3,FALSE)+VLOOKUP(A317,'Change in Proportion Layers'!$A$8:$V$321,10,FALSE)+VLOOKUP(A317,'Change in Proportion Layers'!$A$8:$V$321,16,FALSE)+VLOOKUP(A317,'Change in Proportion Layers'!$A$8:$V$321,21,FALSE)</f>
        <v>-126242</v>
      </c>
      <c r="R317" s="246">
        <f>+L317+VLOOKUP(A317,'Change in Proportion Layers'!$A$8:$V$321,4,FALSE)+VLOOKUP(A317,'Change in Proportion Layers'!$A$8:$V$321,11,FALSE)+VLOOKUP(A317,'Change in Proportion Layers'!$A$8:$V$321,17,FALSE)+VLOOKUP(A317,'Change in Proportion Layers'!$A$8:$V$321,22,FALSE)</f>
        <v>-123875</v>
      </c>
      <c r="S317" s="246">
        <f>+M317+VLOOKUP(A317,'Change in Proportion Layers'!$A$8:$V$321,5,FALSE)+VLOOKUP(A317,'Change in Proportion Layers'!$A$8:$V$321,12,FALSE)+VLOOKUP(A317,'Change in Proportion Layers'!$A$8:$V$321,18,FALSE)</f>
        <v>-75382</v>
      </c>
      <c r="T317" s="246">
        <f>+N317+VLOOKUP(A317,'Change in Proportion Layers'!$A$8:$V$321,6,FALSE)+VLOOKUP(A317,'Change in Proportion Layers'!$A$8:$V$321,13,FALSE)</f>
        <v>0</v>
      </c>
      <c r="U317" s="246">
        <f>+O317+VLOOKUP(A317,'Change in Proportion Layers'!$A$8:$V$321,7,FALSE)</f>
        <v>0</v>
      </c>
      <c r="V317" s="182"/>
      <c r="W317" s="246">
        <f>('OPEB Amounts_Report'!G317-'OPEB Amounts_Report'!M317)</f>
        <v>-325499</v>
      </c>
      <c r="X317" s="157">
        <f>SUM(Q317:U317)-('OPEB Amounts_Report'!G317-'OPEB Amounts_Report'!M317)</f>
        <v>0</v>
      </c>
    </row>
    <row r="318" spans="1:25" s="8" customFormat="1">
      <c r="A318" s="235">
        <v>2344</v>
      </c>
      <c r="B318" s="236" t="s">
        <v>408</v>
      </c>
      <c r="C318" s="245">
        <f t="shared" si="35"/>
        <v>-207195</v>
      </c>
      <c r="D318" s="245">
        <f t="shared" si="36"/>
        <v>-200522</v>
      </c>
      <c r="E318" s="245">
        <f t="shared" si="37"/>
        <v>-117353</v>
      </c>
      <c r="F318" s="245">
        <f t="shared" si="38"/>
        <v>0</v>
      </c>
      <c r="G318" s="245">
        <f t="shared" si="39"/>
        <v>0</v>
      </c>
      <c r="I318" s="51"/>
      <c r="K318" s="246">
        <v>0</v>
      </c>
      <c r="L318" s="246">
        <v>0</v>
      </c>
      <c r="M318" s="246">
        <v>0</v>
      </c>
      <c r="N318" s="246">
        <v>0</v>
      </c>
      <c r="O318" s="246">
        <v>0</v>
      </c>
      <c r="Q318" s="246">
        <f>+K318+VLOOKUP(A318,'Change in Proportion Layers'!$A$8:$I$321,3,FALSE)+VLOOKUP(A318,'Change in Proportion Layers'!$A$8:$V$321,10,FALSE)+VLOOKUP(A318,'Change in Proportion Layers'!$A$8:$V$321,16,FALSE)+VLOOKUP(A318,'Change in Proportion Layers'!$A$8:$V$321,21,FALSE)</f>
        <v>-207195</v>
      </c>
      <c r="R318" s="246">
        <f>+L318+VLOOKUP(A318,'Change in Proportion Layers'!$A$8:$V$321,4,FALSE)+VLOOKUP(A318,'Change in Proportion Layers'!$A$8:$V$321,11,FALSE)+VLOOKUP(A318,'Change in Proportion Layers'!$A$8:$V$321,17,FALSE)+VLOOKUP(A318,'Change in Proportion Layers'!$A$8:$V$321,22,FALSE)</f>
        <v>-200522</v>
      </c>
      <c r="S318" s="246">
        <f>+M318+VLOOKUP(A318,'Change in Proportion Layers'!$A$8:$V$321,5,FALSE)+VLOOKUP(A318,'Change in Proportion Layers'!$A$8:$V$321,12,FALSE)+VLOOKUP(A318,'Change in Proportion Layers'!$A$8:$V$321,18,FALSE)</f>
        <v>-117353</v>
      </c>
      <c r="T318" s="246">
        <f>+N318+VLOOKUP(A318,'Change in Proportion Layers'!$A$8:$V$321,6,FALSE)+VLOOKUP(A318,'Change in Proportion Layers'!$A$8:$V$321,13,FALSE)</f>
        <v>0</v>
      </c>
      <c r="U318" s="246">
        <f>+O318+VLOOKUP(A318,'Change in Proportion Layers'!$A$8:$V$321,7,FALSE)</f>
        <v>0</v>
      </c>
      <c r="V318" s="182"/>
      <c r="W318" s="246">
        <f>('OPEB Amounts_Report'!G318-'OPEB Amounts_Report'!M318)</f>
        <v>-525070</v>
      </c>
      <c r="X318" s="157">
        <f>SUM(Q318:U318)-('OPEB Amounts_Report'!G318-'OPEB Amounts_Report'!M318)</f>
        <v>0</v>
      </c>
    </row>
    <row r="319" spans="1:25" s="8" customFormat="1">
      <c r="A319" s="237">
        <v>2418</v>
      </c>
      <c r="B319" s="238" t="s">
        <v>460</v>
      </c>
      <c r="C319" s="48">
        <f t="shared" si="35"/>
        <v>-126433</v>
      </c>
      <c r="D319" s="48">
        <f t="shared" si="36"/>
        <v>-91034</v>
      </c>
      <c r="E319" s="48">
        <f t="shared" si="37"/>
        <v>0</v>
      </c>
      <c r="F319" s="48">
        <f t="shared" si="38"/>
        <v>0</v>
      </c>
      <c r="G319" s="48">
        <f t="shared" si="39"/>
        <v>0</v>
      </c>
      <c r="I319" s="51"/>
      <c r="K319" s="246">
        <v>0</v>
      </c>
      <c r="L319" s="156">
        <v>0</v>
      </c>
      <c r="M319" s="156">
        <v>0</v>
      </c>
      <c r="N319" s="156">
        <v>0</v>
      </c>
      <c r="O319" s="156">
        <v>0</v>
      </c>
      <c r="Q319" s="246">
        <f>+K319+VLOOKUP(A319,'Change in Proportion Layers'!$A$8:$I$321,3,FALSE)+VLOOKUP(A319,'Change in Proportion Layers'!$A$8:$V$321,10,FALSE)+VLOOKUP(A319,'Change in Proportion Layers'!$A$8:$V$321,16,FALSE)+VLOOKUP(A319,'Change in Proportion Layers'!$A$8:$V$321,21,FALSE)</f>
        <v>-126433</v>
      </c>
      <c r="R319" s="246">
        <f>+L319+VLOOKUP(A319,'Change in Proportion Layers'!$A$8:$V$321,4,FALSE)+VLOOKUP(A319,'Change in Proportion Layers'!$A$8:$V$321,11,FALSE)+VLOOKUP(A319,'Change in Proportion Layers'!$A$8:$V$321,17,FALSE)+VLOOKUP(A319,'Change in Proportion Layers'!$A$8:$V$321,22,FALSE)</f>
        <v>-91034</v>
      </c>
      <c r="S319" s="246">
        <f>+M319+VLOOKUP(A319,'Change in Proportion Layers'!$A$8:$V$321,5,FALSE)+VLOOKUP(A319,'Change in Proportion Layers'!$A$8:$V$321,12,FALSE)+VLOOKUP(A319,'Change in Proportion Layers'!$A$8:$V$321,18,FALSE)</f>
        <v>0</v>
      </c>
      <c r="T319" s="246">
        <f>+N319+VLOOKUP(A319,'Change in Proportion Layers'!$A$8:$V$321,6,FALSE)+VLOOKUP(A319,'Change in Proportion Layers'!$A$8:$V$321,13,FALSE)</f>
        <v>0</v>
      </c>
      <c r="U319" s="246">
        <f>+O319+VLOOKUP(A319,'Change in Proportion Layers'!$A$8:$V$321,7,FALSE)</f>
        <v>0</v>
      </c>
      <c r="V319" s="182"/>
      <c r="W319" s="246">
        <f>('OPEB Amounts_Report'!G319-'OPEB Amounts_Report'!M319)</f>
        <v>-217467</v>
      </c>
      <c r="X319" s="157">
        <f>SUM(Q319:U319)-('OPEB Amounts_Report'!G319-'OPEB Amounts_Report'!M319)</f>
        <v>0</v>
      </c>
    </row>
    <row r="320" spans="1:25" s="8" customFormat="1">
      <c r="A320" s="235">
        <v>2345</v>
      </c>
      <c r="B320" s="236" t="s">
        <v>461</v>
      </c>
      <c r="C320" s="245">
        <f t="shared" si="35"/>
        <v>-108636</v>
      </c>
      <c r="D320" s="245">
        <f t="shared" si="36"/>
        <v>-78216</v>
      </c>
      <c r="E320" s="245">
        <f t="shared" si="37"/>
        <v>0</v>
      </c>
      <c r="F320" s="245">
        <f t="shared" si="38"/>
        <v>0</v>
      </c>
      <c r="G320" s="245">
        <f t="shared" si="39"/>
        <v>0</v>
      </c>
      <c r="I320" s="51"/>
      <c r="K320" s="246">
        <v>0</v>
      </c>
      <c r="L320" s="156">
        <v>0</v>
      </c>
      <c r="M320" s="156">
        <v>0</v>
      </c>
      <c r="N320" s="156">
        <v>0</v>
      </c>
      <c r="O320" s="156">
        <v>0</v>
      </c>
      <c r="Q320" s="246">
        <f>+K320+VLOOKUP(A320,'Change in Proportion Layers'!$A$8:$I$321,3,FALSE)+VLOOKUP(A320,'Change in Proportion Layers'!$A$8:$V$321,10,FALSE)+VLOOKUP(A320,'Change in Proportion Layers'!$A$8:$V$321,16,FALSE)+VLOOKUP(A320,'Change in Proportion Layers'!$A$8:$V$321,21,FALSE)</f>
        <v>-108636</v>
      </c>
      <c r="R320" s="246">
        <f>+L320+VLOOKUP(A320,'Change in Proportion Layers'!$A$8:$V$321,4,FALSE)+VLOOKUP(A320,'Change in Proportion Layers'!$A$8:$V$321,11,FALSE)+VLOOKUP(A320,'Change in Proportion Layers'!$A$8:$V$321,17,FALSE)+VLOOKUP(A320,'Change in Proportion Layers'!$A$8:$V$321,22,FALSE)</f>
        <v>-78216</v>
      </c>
      <c r="S320" s="246">
        <f>+M320+VLOOKUP(A320,'Change in Proportion Layers'!$A$8:$V$321,5,FALSE)+VLOOKUP(A320,'Change in Proportion Layers'!$A$8:$V$321,12,FALSE)+VLOOKUP(A320,'Change in Proportion Layers'!$A$8:$V$321,18,FALSE)</f>
        <v>0</v>
      </c>
      <c r="T320" s="246">
        <f>+N320+VLOOKUP(A320,'Change in Proportion Layers'!$A$8:$V$321,6,FALSE)+VLOOKUP(A320,'Change in Proportion Layers'!$A$8:$V$321,13,FALSE)</f>
        <v>0</v>
      </c>
      <c r="U320" s="246">
        <f>+O320+VLOOKUP(A320,'Change in Proportion Layers'!$A$8:$V$321,7,FALSE)</f>
        <v>0</v>
      </c>
      <c r="V320" s="182"/>
      <c r="W320" s="246">
        <f>('OPEB Amounts_Report'!G320-'OPEB Amounts_Report'!M320)</f>
        <v>-186852</v>
      </c>
      <c r="X320" s="157">
        <f>SUM(Q320:U320)-('OPEB Amounts_Report'!G320-'OPEB Amounts_Report'!M320)</f>
        <v>0</v>
      </c>
    </row>
    <row r="321" spans="1:24" s="8" customFormat="1">
      <c r="A321" s="237">
        <v>13430</v>
      </c>
      <c r="B321" s="238" t="s">
        <v>462</v>
      </c>
      <c r="C321" s="313">
        <f t="shared" si="35"/>
        <v>-188678</v>
      </c>
      <c r="D321" s="313">
        <f t="shared" si="36"/>
        <v>-135846</v>
      </c>
      <c r="E321" s="313">
        <f t="shared" si="37"/>
        <v>0</v>
      </c>
      <c r="F321" s="305">
        <f t="shared" si="38"/>
        <v>0</v>
      </c>
      <c r="G321" s="305">
        <f t="shared" si="39"/>
        <v>0</v>
      </c>
      <c r="I321" s="51"/>
      <c r="K321" s="246">
        <v>0</v>
      </c>
      <c r="L321" s="156">
        <v>0</v>
      </c>
      <c r="M321" s="156">
        <v>0</v>
      </c>
      <c r="N321" s="156">
        <v>0</v>
      </c>
      <c r="O321" s="156">
        <v>0</v>
      </c>
      <c r="Q321" s="246">
        <f>+K321+VLOOKUP(A321,'Change in Proportion Layers'!$A$8:$I$321,3,FALSE)+VLOOKUP(A321,'Change in Proportion Layers'!$A$8:$V$321,10,FALSE)+VLOOKUP(A321,'Change in Proportion Layers'!$A$8:$V$321,16,FALSE)+VLOOKUP(A321,'Change in Proportion Layers'!$A$8:$V$321,21,FALSE)</f>
        <v>-188678</v>
      </c>
      <c r="R321" s="246">
        <f>+L321+VLOOKUP(A321,'Change in Proportion Layers'!$A$8:$V$321,4,FALSE)+VLOOKUP(A321,'Change in Proportion Layers'!$A$8:$V$321,11,FALSE)+VLOOKUP(A321,'Change in Proportion Layers'!$A$8:$V$321,17,FALSE)+VLOOKUP(A321,'Change in Proportion Layers'!$A$8:$V$321,22,FALSE)</f>
        <v>-135846</v>
      </c>
      <c r="S321" s="246">
        <f>+M321+VLOOKUP(A321,'Change in Proportion Layers'!$A$8:$V$321,5,FALSE)+VLOOKUP(A321,'Change in Proportion Layers'!$A$8:$V$321,12,FALSE)+VLOOKUP(A321,'Change in Proportion Layers'!$A$8:$V$321,18,FALSE)</f>
        <v>0</v>
      </c>
      <c r="T321" s="246">
        <f>+N321+VLOOKUP(A321,'Change in Proportion Layers'!$A$8:$V$321,6,FALSE)+VLOOKUP(A321,'Change in Proportion Layers'!$A$8:$V$321,13,FALSE)</f>
        <v>0</v>
      </c>
      <c r="U321" s="246">
        <f>+O321+VLOOKUP(A321,'Change in Proportion Layers'!$A$8:$V$321,7,FALSE)</f>
        <v>0</v>
      </c>
      <c r="V321" s="182"/>
      <c r="W321" s="246">
        <f>('OPEB Amounts_Report'!G321-'OPEB Amounts_Report'!M321)</f>
        <v>-324524</v>
      </c>
      <c r="X321" s="157">
        <f>SUM(Q321:U321)-('OPEB Amounts_Report'!G321-'OPEB Amounts_Report'!M321)</f>
        <v>0</v>
      </c>
    </row>
    <row r="322" spans="1:24" s="8" customFormat="1" ht="8.1" customHeight="1">
      <c r="A322" s="3"/>
      <c r="B322" s="1"/>
      <c r="C322" s="4"/>
      <c r="D322" s="4"/>
      <c r="E322" s="4"/>
      <c r="F322" s="1"/>
      <c r="G322" s="1"/>
      <c r="J322" s="38"/>
    </row>
    <row r="323" spans="1:24" s="8" customFormat="1" ht="15.75" thickBot="1">
      <c r="A323" s="3"/>
      <c r="B323" s="18"/>
      <c r="C323" s="52">
        <f>SUM(C10:C322)</f>
        <v>-468760669</v>
      </c>
      <c r="D323" s="52">
        <f>SUM(D10:D322)</f>
        <v>-294993925</v>
      </c>
      <c r="E323" s="52">
        <f>SUM(E10:E322)</f>
        <v>-167610151</v>
      </c>
      <c r="F323" s="52">
        <f>SUM(F10:F322)</f>
        <v>-33328912</v>
      </c>
      <c r="G323" s="52">
        <f>SUM(G10:G322)</f>
        <v>-137074149</v>
      </c>
      <c r="I323" s="39"/>
      <c r="J323" s="40"/>
      <c r="K323" s="52">
        <v>-468760669</v>
      </c>
      <c r="L323" s="52">
        <v>-294993925</v>
      </c>
      <c r="M323" s="52">
        <v>-167610151</v>
      </c>
      <c r="N323" s="52">
        <v>-33328912</v>
      </c>
      <c r="O323" s="52">
        <v>-137074149</v>
      </c>
      <c r="Q323" s="248">
        <v>-468760669</v>
      </c>
      <c r="R323" s="248">
        <v>-294993925</v>
      </c>
      <c r="S323" s="248">
        <v>-167610151</v>
      </c>
      <c r="T323" s="248">
        <v>-33328912</v>
      </c>
      <c r="U323" s="248">
        <v>-137074149</v>
      </c>
    </row>
    <row r="324" spans="1:24" s="8" customFormat="1" ht="15.75" thickTop="1">
      <c r="A324" s="241" t="s">
        <v>464</v>
      </c>
      <c r="C324" s="9"/>
      <c r="D324" s="9"/>
      <c r="E324" s="9"/>
      <c r="F324" s="9"/>
      <c r="G324" s="9"/>
      <c r="I324" s="10"/>
      <c r="J324" s="41"/>
    </row>
    <row r="325" spans="1:24" s="8" customFormat="1">
      <c r="A325" s="34" t="s">
        <v>465</v>
      </c>
      <c r="C325" s="50"/>
      <c r="D325" s="50"/>
      <c r="E325" s="50"/>
      <c r="F325" s="50"/>
      <c r="G325" s="50"/>
      <c r="I325" s="42"/>
      <c r="J325" s="41"/>
      <c r="K325" s="282">
        <v>-468565997</v>
      </c>
      <c r="L325" s="282">
        <v>-294799254</v>
      </c>
      <c r="M325" s="282">
        <v>-167485562</v>
      </c>
      <c r="N325" s="282">
        <v>-33328909</v>
      </c>
      <c r="O325" s="282">
        <v>-137074149</v>
      </c>
      <c r="Q325" s="157">
        <f>SUM(Q10:Q321)</f>
        <v>-468760669</v>
      </c>
      <c r="R325" s="157">
        <f>SUM(R10:R321)</f>
        <v>-294993925</v>
      </c>
      <c r="S325" s="157">
        <f>SUM(S10:S321)</f>
        <v>-167610151</v>
      </c>
      <c r="T325" s="157">
        <f>SUM(T10:T321)</f>
        <v>-33328912</v>
      </c>
      <c r="U325" s="157">
        <f>SUM(U10:U321)</f>
        <v>-137074149</v>
      </c>
      <c r="X325" s="157">
        <f>SUM(X10:X321)</f>
        <v>-1</v>
      </c>
    </row>
    <row r="326" spans="1:24" s="8" customFormat="1">
      <c r="A326" s="34" t="s">
        <v>466</v>
      </c>
      <c r="C326" s="93"/>
      <c r="D326" s="93"/>
      <c r="E326" s="93"/>
      <c r="F326" s="93"/>
      <c r="G326" s="93"/>
      <c r="K326" s="158" t="s">
        <v>387</v>
      </c>
      <c r="Q326" s="158" t="s">
        <v>387</v>
      </c>
    </row>
    <row r="327" spans="1:24" s="8" customFormat="1">
      <c r="K327" s="157">
        <f>+K323-K325</f>
        <v>-194672</v>
      </c>
      <c r="L327" s="157">
        <f>+L323-L325</f>
        <v>-194671</v>
      </c>
      <c r="M327" s="157">
        <f>+M323-M325</f>
        <v>-124589</v>
      </c>
      <c r="N327" s="157">
        <f>+N323-N325</f>
        <v>-3</v>
      </c>
      <c r="O327" s="157">
        <f>+O323-O325</f>
        <v>0</v>
      </c>
      <c r="Q327" s="157">
        <f>+Q323-Q325</f>
        <v>0</v>
      </c>
      <c r="R327" s="157">
        <f>+R323-R325</f>
        <v>0</v>
      </c>
      <c r="S327" s="157">
        <f>+S323-S325</f>
        <v>0</v>
      </c>
      <c r="T327" s="157">
        <f>+T323-T325</f>
        <v>0</v>
      </c>
      <c r="U327" s="157">
        <f>+U323-U325</f>
        <v>0</v>
      </c>
    </row>
    <row r="328" spans="1:24">
      <c r="K328" t="s">
        <v>491</v>
      </c>
    </row>
    <row r="330" spans="1:24">
      <c r="J330" s="166"/>
    </row>
    <row r="331" spans="1:24">
      <c r="J331" s="310"/>
      <c r="K331" s="164"/>
      <c r="L331" s="164"/>
      <c r="M331" s="164"/>
    </row>
    <row r="332" spans="1:24">
      <c r="J332" s="308"/>
      <c r="K332" s="309"/>
      <c r="L332" s="309"/>
      <c r="M332" s="308"/>
    </row>
    <row r="333" spans="1:24">
      <c r="J333" s="308"/>
      <c r="K333" s="230"/>
      <c r="L333" s="230"/>
      <c r="M333" s="308"/>
    </row>
    <row r="334" spans="1:24">
      <c r="J334" s="308"/>
      <c r="K334" s="184"/>
      <c r="L334" s="304"/>
      <c r="M334" s="308"/>
      <c r="N334" s="214"/>
    </row>
    <row r="335" spans="1:24">
      <c r="J335" s="308"/>
      <c r="K335" s="184"/>
      <c r="L335" s="278"/>
      <c r="M335" s="308"/>
      <c r="N335" s="214"/>
    </row>
    <row r="336" spans="1:24">
      <c r="J336" s="308"/>
      <c r="K336" s="184"/>
      <c r="L336" s="278"/>
      <c r="M336" s="308"/>
      <c r="N336" s="214"/>
    </row>
    <row r="337" spans="10:14">
      <c r="J337" s="308"/>
      <c r="K337" s="184"/>
      <c r="L337" s="278"/>
      <c r="M337" s="308"/>
      <c r="N337" s="214"/>
    </row>
    <row r="338" spans="10:14">
      <c r="J338" s="308"/>
      <c r="K338" s="184"/>
      <c r="L338" s="278"/>
      <c r="M338" s="308"/>
      <c r="N338" s="214"/>
    </row>
    <row r="339" spans="10:14">
      <c r="J339" s="308"/>
      <c r="K339" s="230"/>
      <c r="L339" s="230"/>
      <c r="M339" s="308"/>
    </row>
    <row r="340" spans="10:14">
      <c r="J340" s="308"/>
      <c r="K340" s="230"/>
      <c r="L340" s="183"/>
      <c r="M340" s="308"/>
    </row>
    <row r="341" spans="10:14">
      <c r="J341" s="308"/>
      <c r="K341" s="230"/>
      <c r="L341" s="230"/>
      <c r="M341" s="308"/>
    </row>
  </sheetData>
  <mergeCells count="8">
    <mergeCell ref="K8:O8"/>
    <mergeCell ref="Q6:U6"/>
    <mergeCell ref="Q8:U8"/>
    <mergeCell ref="A1:G1"/>
    <mergeCell ref="A2:G2"/>
    <mergeCell ref="A3:G3"/>
    <mergeCell ref="C6:G6"/>
    <mergeCell ref="K6:O6"/>
  </mergeCells>
  <pageMargins left="0.7" right="0.7" top="0.5" bottom="0.5" header="0.5" footer="0.5"/>
  <pageSetup scale="57" firstPageNumber="23" fitToHeight="0" orientation="portrait" useFirstPageNumber="1" r:id="rId1"/>
  <headerFooter differentOddEven="1" scaleWithDoc="0">
    <oddFooter>&amp;R&amp;"Arial,Regular"&amp;10&amp;P</oddFooter>
    <evenFooter>&amp;R&amp;"Arial,Regular"&amp;10&amp;P</evenFooter>
  </headerFooter>
  <rowBreaks count="4" manualBreakCount="4">
    <brk id="79" max="6" man="1"/>
    <brk id="149" max="6" man="1"/>
    <brk id="219" max="6" man="1"/>
    <brk id="28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316"/>
  <sheetViews>
    <sheetView view="pageBreakPreview" topLeftCell="A4" zoomScaleNormal="100" zoomScaleSheetLayoutView="100" workbookViewId="0">
      <selection activeCell="C5" sqref="C5"/>
    </sheetView>
  </sheetViews>
  <sheetFormatPr defaultRowHeight="15"/>
  <cols>
    <col min="1" max="1" width="13.5703125" style="36" customWidth="1"/>
    <col min="2" max="2" width="76.28515625" style="36" bestFit="1" customWidth="1"/>
    <col min="3" max="5" width="15" style="36" customWidth="1"/>
    <col min="6" max="6" width="2" customWidth="1"/>
  </cols>
  <sheetData>
    <row r="1" spans="1:8" ht="18">
      <c r="A1" s="408" t="s">
        <v>392</v>
      </c>
      <c r="B1" s="408"/>
      <c r="C1" s="408"/>
      <c r="D1" s="408"/>
      <c r="E1" s="408"/>
    </row>
    <row r="2" spans="1:8" ht="15.75">
      <c r="A2" s="409" t="s">
        <v>396</v>
      </c>
      <c r="B2" s="409"/>
      <c r="C2" s="409"/>
      <c r="D2" s="409"/>
      <c r="E2" s="409"/>
    </row>
    <row r="3" spans="1:8" ht="15.75">
      <c r="A3" s="412" t="s">
        <v>476</v>
      </c>
      <c r="B3" s="409"/>
      <c r="C3" s="409"/>
      <c r="D3" s="409"/>
      <c r="E3" s="409"/>
    </row>
    <row r="5" spans="1:8" ht="59.1" customHeight="1">
      <c r="A5" s="45" t="s">
        <v>0</v>
      </c>
      <c r="B5" s="46" t="s">
        <v>1</v>
      </c>
      <c r="C5" s="45" t="s">
        <v>495</v>
      </c>
      <c r="D5" s="45" t="s">
        <v>494</v>
      </c>
      <c r="E5" s="45" t="s">
        <v>496</v>
      </c>
      <c r="F5" s="8"/>
    </row>
    <row r="6" spans="1:8">
      <c r="A6" s="19"/>
      <c r="B6" s="19"/>
      <c r="C6" s="222" t="s">
        <v>424</v>
      </c>
      <c r="D6" s="222" t="s">
        <v>425</v>
      </c>
      <c r="E6" s="222" t="s">
        <v>425</v>
      </c>
      <c r="F6" s="8"/>
    </row>
    <row r="7" spans="1:8">
      <c r="A7" s="19"/>
      <c r="B7" s="19"/>
      <c r="C7" s="19"/>
      <c r="D7" s="19"/>
      <c r="E7" s="19"/>
      <c r="F7" s="8"/>
    </row>
    <row r="8" spans="1:8">
      <c r="A8" s="16">
        <v>1341</v>
      </c>
      <c r="B8" s="53" t="s">
        <v>5</v>
      </c>
      <c r="C8" s="87">
        <f>ROUND(VLOOKUP(A8,'Contribution Allocation_Report'!$A$9:$D$310,4,FALSE)*$C$311,0)+7</f>
        <v>997325642</v>
      </c>
      <c r="D8" s="87">
        <f>ROUND(VLOOKUP(A8,'Contribution Allocation_Report'!$A$9:$D$308,4,FALSE)*$D$311,0)-4</f>
        <v>793747857</v>
      </c>
      <c r="E8" s="87">
        <f>ROUND(VLOOKUP(A8,'Contribution Allocation_Report'!$A$9:$D$308,4,FALSE)*$E$311,0)+4</f>
        <v>635386696</v>
      </c>
      <c r="F8" s="8"/>
      <c r="H8" s="166"/>
    </row>
    <row r="9" spans="1:8">
      <c r="A9" s="14">
        <v>2308</v>
      </c>
      <c r="B9" s="15" t="s">
        <v>6</v>
      </c>
      <c r="C9" s="32">
        <f>ROUND(VLOOKUP(A9,'Contribution Allocation_Report'!$A$9:$D$310,4,FALSE)*$C$311,0)</f>
        <v>1555304</v>
      </c>
      <c r="D9" s="32">
        <f>ROUND(VLOOKUP(A9,'Contribution Allocation_Report'!$A$9:$D$310,4,FALSE)*$D$311,0)</f>
        <v>1237830</v>
      </c>
      <c r="E9" s="32">
        <f>ROUND(VLOOKUP(A9,'Contribution Allocation_Report'!$A$9:$D$310,4,FALSE)*$E$311,0)</f>
        <v>990869</v>
      </c>
      <c r="F9" s="8"/>
      <c r="H9" s="166"/>
    </row>
    <row r="10" spans="1:8">
      <c r="A10" s="16">
        <v>2340</v>
      </c>
      <c r="B10" s="17" t="s">
        <v>7</v>
      </c>
      <c r="C10" s="33">
        <f>ROUND(VLOOKUP(A10,'Contribution Allocation_Report'!$A$9:$D$310,4,FALSE)*$C$311,0)</f>
        <v>1673543</v>
      </c>
      <c r="D10" s="33">
        <f>ROUND(VLOOKUP(A10,'Contribution Allocation_Report'!$A$9:$D$310,4,FALSE)*$D$311,0)</f>
        <v>1331934</v>
      </c>
      <c r="E10" s="33">
        <f>ROUND(VLOOKUP(A10,'Contribution Allocation_Report'!$A$9:$D$310,4,FALSE)*$E$311,0)</f>
        <v>1066199</v>
      </c>
      <c r="F10" s="8"/>
      <c r="H10" s="166"/>
    </row>
    <row r="11" spans="1:8">
      <c r="A11" s="14">
        <v>1301</v>
      </c>
      <c r="B11" s="15" t="s">
        <v>8</v>
      </c>
      <c r="C11" s="32">
        <f>ROUND(VLOOKUP(A11,'Contribution Allocation_Report'!$A$9:$D$310,4,FALSE)*$C$311,0)</f>
        <v>1976170</v>
      </c>
      <c r="D11" s="32">
        <f>ROUND(VLOOKUP(A11,'Contribution Allocation_Report'!$A$9:$D$310,4,FALSE)*$D$311,0)</f>
        <v>1572787</v>
      </c>
      <c r="E11" s="32">
        <f>ROUND(VLOOKUP(A11,'Contribution Allocation_Report'!$A$9:$D$310,4,FALSE)*$E$311,0)</f>
        <v>1258999</v>
      </c>
      <c r="F11" s="8"/>
      <c r="H11" s="166"/>
    </row>
    <row r="12" spans="1:8">
      <c r="A12" s="220">
        <v>2390</v>
      </c>
      <c r="B12" s="221" t="s">
        <v>9</v>
      </c>
      <c r="C12" s="240">
        <f>ROUND(VLOOKUP(A12,'Contribution Allocation_Report'!$A$9:$D$310,4,FALSE)*$C$311,0)</f>
        <v>1337429</v>
      </c>
      <c r="D12" s="240">
        <f>ROUND(VLOOKUP(A12,'Contribution Allocation_Report'!$A$9:$D$310,4,FALSE)*$D$311,0)</f>
        <v>1064428</v>
      </c>
      <c r="E12" s="240">
        <f>ROUND(VLOOKUP(A12,'Contribution Allocation_Report'!$A$9:$D$310,4,FALSE)*$E$311,0)</f>
        <v>852063</v>
      </c>
      <c r="F12" s="8"/>
      <c r="H12" s="166"/>
    </row>
    <row r="13" spans="1:8" s="215" customFormat="1">
      <c r="A13" s="218">
        <v>2441</v>
      </c>
      <c r="B13" s="219" t="s">
        <v>444</v>
      </c>
      <c r="C13" s="239">
        <f>ROUND(VLOOKUP(A13,'Contribution Allocation_Report'!$A$9:$D$310,4,FALSE)*$C$311,0)</f>
        <v>334461</v>
      </c>
      <c r="D13" s="239">
        <f>ROUND(VLOOKUP(A13,'Contribution Allocation_Report'!$A$9:$D$310,4,FALSE)*$D$311,0)</f>
        <v>266189</v>
      </c>
      <c r="E13" s="239">
        <f>ROUND(VLOOKUP(A13,'Contribution Allocation_Report'!$A$9:$D$310,4,FALSE)*$E$311,0)</f>
        <v>213082</v>
      </c>
      <c r="F13" s="217"/>
      <c r="H13" s="166"/>
    </row>
    <row r="14" spans="1:8">
      <c r="A14" s="220">
        <v>15046</v>
      </c>
      <c r="B14" s="221" t="s">
        <v>10</v>
      </c>
      <c r="C14" s="240">
        <f>ROUND(VLOOKUP(A14,'Contribution Allocation_Report'!$A$9:$D$310,4,FALSE)*$C$311,0)</f>
        <v>29058800</v>
      </c>
      <c r="D14" s="240">
        <f>ROUND(VLOOKUP(A14,'Contribution Allocation_Report'!$A$9:$D$310,4,FALSE)*$D$311,0)</f>
        <v>23127211</v>
      </c>
      <c r="E14" s="240">
        <f>ROUND(VLOOKUP(A14,'Contribution Allocation_Report'!$A$9:$D$310,4,FALSE)*$E$311,0)</f>
        <v>18513085</v>
      </c>
      <c r="F14" s="8"/>
    </row>
    <row r="15" spans="1:8">
      <c r="A15" s="218">
        <v>4380</v>
      </c>
      <c r="B15" s="219" t="s">
        <v>11</v>
      </c>
      <c r="C15" s="239">
        <f>ROUND(VLOOKUP(A15,'Contribution Allocation_Report'!$A$9:$D$310,4,FALSE)*$C$311,0)</f>
        <v>29961306</v>
      </c>
      <c r="D15" s="239">
        <f>ROUND(VLOOKUP(A15,'Contribution Allocation_Report'!$A$9:$D$310,4,FALSE)*$D$311,0)</f>
        <v>23845494</v>
      </c>
      <c r="E15" s="239">
        <f>ROUND(VLOOKUP(A15,'Contribution Allocation_Report'!$A$9:$D$310,4,FALSE)*$E$311,0)</f>
        <v>19088063</v>
      </c>
      <c r="F15" s="8"/>
    </row>
    <row r="16" spans="1:8">
      <c r="A16" s="220">
        <v>2435</v>
      </c>
      <c r="B16" s="221" t="s">
        <v>409</v>
      </c>
      <c r="C16" s="240">
        <f>ROUND(VLOOKUP(A16,'Contribution Allocation_Report'!$A$9:$D$310,4,FALSE)*$C$311,0)</f>
        <v>589130</v>
      </c>
      <c r="D16" s="240">
        <f>ROUND(VLOOKUP(A16,'Contribution Allocation_Report'!$A$9:$D$310,4,FALSE)*$D$311,0)</f>
        <v>468875</v>
      </c>
      <c r="E16" s="240">
        <f>ROUND(VLOOKUP(A16,'Contribution Allocation_Report'!$A$9:$D$310,4,FALSE)*$E$311,0)</f>
        <v>375329</v>
      </c>
      <c r="F16" s="8"/>
    </row>
    <row r="17" spans="1:6">
      <c r="A17" s="218">
        <v>4560</v>
      </c>
      <c r="B17" s="219" t="s">
        <v>12</v>
      </c>
      <c r="C17" s="239">
        <f>ROUND(VLOOKUP(A17,'Contribution Allocation_Report'!$A$9:$D$310,4,FALSE)*$C$311,0)</f>
        <v>2607883</v>
      </c>
      <c r="D17" s="239">
        <f>ROUND(VLOOKUP(A17,'Contribution Allocation_Report'!$A$9:$D$310,4,FALSE)*$D$311,0)</f>
        <v>2075553</v>
      </c>
      <c r="E17" s="239">
        <f>ROUND(VLOOKUP(A17,'Contribution Allocation_Report'!$A$9:$D$310,4,FALSE)*$E$311,0)</f>
        <v>1661458</v>
      </c>
      <c r="F17" s="8"/>
    </row>
    <row r="18" spans="1:6">
      <c r="A18" s="220">
        <v>2341</v>
      </c>
      <c r="B18" s="221" t="s">
        <v>440</v>
      </c>
      <c r="C18" s="240">
        <f>ROUND(VLOOKUP(A18,'Contribution Allocation_Report'!$A$9:$D$310,4,FALSE)*$C$311,0)</f>
        <v>1531325</v>
      </c>
      <c r="D18" s="240">
        <f>ROUND(VLOOKUP(A18,'Contribution Allocation_Report'!$A$9:$D$310,4,FALSE)*$D$311,0)</f>
        <v>1218746</v>
      </c>
      <c r="E18" s="240">
        <f>ROUND(VLOOKUP(A18,'Contribution Allocation_Report'!$A$9:$D$310,4,FALSE)*$E$311,0)</f>
        <v>975593</v>
      </c>
      <c r="F18" s="8"/>
    </row>
    <row r="19" spans="1:6">
      <c r="A19" s="218">
        <v>4580</v>
      </c>
      <c r="B19" s="219" t="s">
        <v>410</v>
      </c>
      <c r="C19" s="239">
        <f>ROUND(VLOOKUP(A19,'Contribution Allocation_Report'!$A$9:$D$310,4,FALSE)*$C$311,0)</f>
        <v>1284097</v>
      </c>
      <c r="D19" s="239">
        <f>ROUND(VLOOKUP(A19,'Contribution Allocation_Report'!$A$9:$D$310,4,FALSE)*$D$311,0)</f>
        <v>1021983</v>
      </c>
      <c r="E19" s="239">
        <f>ROUND(VLOOKUP(A19,'Contribution Allocation_Report'!$A$9:$D$310,4,FALSE)*$E$311,0)</f>
        <v>818086</v>
      </c>
      <c r="F19" s="8"/>
    </row>
    <row r="20" spans="1:6">
      <c r="A20" s="220">
        <v>2003</v>
      </c>
      <c r="B20" s="221" t="s">
        <v>13</v>
      </c>
      <c r="C20" s="240">
        <f>ROUND(VLOOKUP(A20,'Contribution Allocation_Report'!$A$9:$D$310,4,FALSE)*$C$311,0)</f>
        <v>467871148</v>
      </c>
      <c r="D20" s="240">
        <f>ROUND(VLOOKUP(A20,'Contribution Allocation_Report'!$A$9:$D$310,4,FALSE)*$D$311,0)</f>
        <v>372367570</v>
      </c>
      <c r="E20" s="240">
        <f>ROUND(VLOOKUP(A20,'Contribution Allocation_Report'!$A$9:$D$310,4,FALSE)*$E$311,0)</f>
        <v>298076266</v>
      </c>
      <c r="F20" s="8"/>
    </row>
    <row r="21" spans="1:6">
      <c r="A21" s="218">
        <v>2412</v>
      </c>
      <c r="B21" s="219" t="s">
        <v>14</v>
      </c>
      <c r="C21" s="239">
        <f>ROUND(VLOOKUP(A21,'Contribution Allocation_Report'!$A$9:$D$310,4,FALSE)*$C$311,0)</f>
        <v>3698911</v>
      </c>
      <c r="D21" s="239">
        <f>ROUND(VLOOKUP(A21,'Contribution Allocation_Report'!$A$9:$D$310,4,FALSE)*$D$311,0)</f>
        <v>2943876</v>
      </c>
      <c r="E21" s="239">
        <f>ROUND(VLOOKUP(A21,'Contribution Allocation_Report'!$A$9:$D$310,4,FALSE)*$E$311,0)</f>
        <v>2356541</v>
      </c>
      <c r="F21" s="8"/>
    </row>
    <row r="22" spans="1:6">
      <c r="A22" s="220">
        <v>2402</v>
      </c>
      <c r="B22" s="221" t="s">
        <v>15</v>
      </c>
      <c r="C22" s="240">
        <f>ROUND(VLOOKUP(A22,'Contribution Allocation_Report'!$A$9:$D$310,4,FALSE)*$C$311,0)</f>
        <v>1323373</v>
      </c>
      <c r="D22" s="240">
        <f>ROUND(VLOOKUP(A22,'Contribution Allocation_Report'!$A$9:$D$310,4,FALSE)*$D$311,0)</f>
        <v>1053241</v>
      </c>
      <c r="E22" s="240">
        <f>ROUND(VLOOKUP(A22,'Contribution Allocation_Report'!$A$9:$D$310,4,FALSE)*$E$311,0)</f>
        <v>843108</v>
      </c>
      <c r="F22" s="8"/>
    </row>
    <row r="23" spans="1:6">
      <c r="A23" s="218">
        <v>2361</v>
      </c>
      <c r="B23" s="219" t="s">
        <v>16</v>
      </c>
      <c r="C23" s="239">
        <f>ROUND(VLOOKUP(A23,'Contribution Allocation_Report'!$A$9:$D$310,4,FALSE)*$C$311,0)</f>
        <v>850828</v>
      </c>
      <c r="D23" s="239">
        <f>ROUND(VLOOKUP(A23,'Contribution Allocation_Report'!$A$9:$D$310,4,FALSE)*$D$311,0)</f>
        <v>677154</v>
      </c>
      <c r="E23" s="239">
        <f>ROUND(VLOOKUP(A23,'Contribution Allocation_Report'!$A$9:$D$310,4,FALSE)*$E$311,0)</f>
        <v>542055</v>
      </c>
      <c r="F23" s="8"/>
    </row>
    <row r="24" spans="1:6">
      <c r="A24" s="220">
        <v>8347</v>
      </c>
      <c r="B24" s="221" t="s">
        <v>17</v>
      </c>
      <c r="C24" s="240">
        <f>ROUND(VLOOKUP(A24,'Contribution Allocation_Report'!$A$9:$D$310,4,FALSE)*$C$311,0)</f>
        <v>1238621</v>
      </c>
      <c r="D24" s="240">
        <f>ROUND(VLOOKUP(A24,'Contribution Allocation_Report'!$A$9:$D$310,4,FALSE)*$D$311,0)</f>
        <v>985789</v>
      </c>
      <c r="E24" s="240">
        <f>ROUND(VLOOKUP(A24,'Contribution Allocation_Report'!$A$9:$D$310,4,FALSE)*$E$311,0)</f>
        <v>789113</v>
      </c>
      <c r="F24" s="8"/>
    </row>
    <row r="25" spans="1:6">
      <c r="A25" s="218">
        <v>2356</v>
      </c>
      <c r="B25" s="219" t="s">
        <v>18</v>
      </c>
      <c r="C25" s="239">
        <f>ROUND(VLOOKUP(A25,'Contribution Allocation_Report'!$A$9:$D$310,4,FALSE)*$C$311,0)</f>
        <v>2356521</v>
      </c>
      <c r="D25" s="239">
        <f>ROUND(VLOOKUP(A25,'Contribution Allocation_Report'!$A$9:$D$310,4,FALSE)*$D$311,0)</f>
        <v>1875499</v>
      </c>
      <c r="E25" s="239">
        <f>ROUND(VLOOKUP(A25,'Contribution Allocation_Report'!$A$9:$D$310,4,FALSE)*$E$311,0)</f>
        <v>1501317</v>
      </c>
      <c r="F25" s="8"/>
    </row>
    <row r="26" spans="1:6">
      <c r="A26" s="220">
        <v>7335</v>
      </c>
      <c r="B26" s="221" t="s">
        <v>19</v>
      </c>
      <c r="C26" s="240">
        <f>ROUND(VLOOKUP(A26,'Contribution Allocation_Report'!$A$9:$D$310,4,FALSE)*$C$311,0)</f>
        <v>889690</v>
      </c>
      <c r="D26" s="240">
        <f>ROUND(VLOOKUP(A26,'Contribution Allocation_Report'!$A$9:$D$310,4,FALSE)*$D$311,0)</f>
        <v>708083</v>
      </c>
      <c r="E26" s="240">
        <f>ROUND(VLOOKUP(A26,'Contribution Allocation_Report'!$A$9:$D$310,4,FALSE)*$E$311,0)</f>
        <v>566813</v>
      </c>
      <c r="F26" s="8"/>
    </row>
    <row r="27" spans="1:6">
      <c r="A27" s="218">
        <v>575</v>
      </c>
      <c r="B27" s="219" t="s">
        <v>411</v>
      </c>
      <c r="C27" s="239">
        <f>ROUND(VLOOKUP(A27,'Contribution Allocation_Report'!$A$9:$D$310,4,FALSE)*$C$311,0)</f>
        <v>727628</v>
      </c>
      <c r="D27" s="239">
        <f>ROUND(VLOOKUP(A27,'Contribution Allocation_Report'!$A$9:$D$310,4,FALSE)*$D$311,0)</f>
        <v>579102</v>
      </c>
      <c r="E27" s="239">
        <f>ROUND(VLOOKUP(A27,'Contribution Allocation_Report'!$A$9:$D$310,4,FALSE)*$E$311,0)</f>
        <v>463565</v>
      </c>
      <c r="F27" s="8"/>
    </row>
    <row r="28" spans="1:6">
      <c r="A28" s="220">
        <v>2303</v>
      </c>
      <c r="B28" s="221" t="s">
        <v>20</v>
      </c>
      <c r="C28" s="240">
        <f>ROUND(VLOOKUP(A28,'Contribution Allocation_Report'!$A$9:$D$310,4,FALSE)*$C$311,0)</f>
        <v>1831058</v>
      </c>
      <c r="D28" s="240">
        <f>ROUND(VLOOKUP(A28,'Contribution Allocation_Report'!$A$9:$D$310,4,FALSE)*$D$311,0)</f>
        <v>1457296</v>
      </c>
      <c r="E28" s="240">
        <f>ROUND(VLOOKUP(A28,'Contribution Allocation_Report'!$A$9:$D$310,4,FALSE)*$E$311,0)</f>
        <v>1166550</v>
      </c>
      <c r="F28" s="8"/>
    </row>
    <row r="29" spans="1:6">
      <c r="A29" s="218">
        <v>20316</v>
      </c>
      <c r="B29" s="219" t="s">
        <v>21</v>
      </c>
      <c r="C29" s="239">
        <f>ROUND(VLOOKUP(A29,'Contribution Allocation_Report'!$A$9:$D$310,4,FALSE)*$C$311,0)</f>
        <v>950464</v>
      </c>
      <c r="D29" s="239">
        <f>ROUND(VLOOKUP(A29,'Contribution Allocation_Report'!$A$9:$D$310,4,FALSE)*$D$311,0)</f>
        <v>756451</v>
      </c>
      <c r="E29" s="239">
        <f>ROUND(VLOOKUP(A29,'Contribution Allocation_Report'!$A$9:$D$310,4,FALSE)*$E$311,0)</f>
        <v>605531</v>
      </c>
      <c r="F29" s="8"/>
    </row>
    <row r="30" spans="1:6">
      <c r="A30" s="220">
        <v>23121</v>
      </c>
      <c r="B30" s="221" t="s">
        <v>22</v>
      </c>
      <c r="C30" s="240">
        <f>ROUND(VLOOKUP(A30,'Contribution Allocation_Report'!$A$9:$D$310,4,FALSE)*$C$311,0)</f>
        <v>1158416</v>
      </c>
      <c r="D30" s="240">
        <f>ROUND(VLOOKUP(A30,'Contribution Allocation_Report'!$A$9:$D$310,4,FALSE)*$D$311,0)</f>
        <v>921956</v>
      </c>
      <c r="E30" s="240">
        <f>ROUND(VLOOKUP(A30,'Contribution Allocation_Report'!$A$9:$D$310,4,FALSE)*$E$311,0)</f>
        <v>738016</v>
      </c>
      <c r="F30" s="8"/>
    </row>
    <row r="31" spans="1:6">
      <c r="A31" s="218">
        <v>3004</v>
      </c>
      <c r="B31" s="219" t="s">
        <v>23</v>
      </c>
      <c r="C31" s="239">
        <f>ROUND(VLOOKUP(A31,'Contribution Allocation_Report'!$A$9:$D$310,4,FALSE)*$C$311,0)</f>
        <v>20409540</v>
      </c>
      <c r="D31" s="239">
        <f>ROUND(VLOOKUP(A31,'Contribution Allocation_Report'!$A$9:$D$310,4,FALSE)*$D$311,0)</f>
        <v>16243470</v>
      </c>
      <c r="E31" s="239">
        <f>ROUND(VLOOKUP(A31,'Contribution Allocation_Report'!$A$9:$D$310,4,FALSE)*$E$311,0)</f>
        <v>13002724</v>
      </c>
      <c r="F31" s="8"/>
    </row>
    <row r="32" spans="1:6">
      <c r="A32" s="220">
        <v>16050</v>
      </c>
      <c r="B32" s="221" t="s">
        <v>24</v>
      </c>
      <c r="C32" s="240">
        <f>ROUND(VLOOKUP(A32,'Contribution Allocation_Report'!$A$9:$D$310,4,FALSE)*$C$311,0)</f>
        <v>13929520</v>
      </c>
      <c r="D32" s="240">
        <f>ROUND(VLOOKUP(A32,'Contribution Allocation_Report'!$A$9:$D$310,4,FALSE)*$D$311,0)</f>
        <v>11086176</v>
      </c>
      <c r="E32" s="240">
        <f>ROUND(VLOOKUP(A32,'Contribution Allocation_Report'!$A$9:$D$310,4,FALSE)*$E$311,0)</f>
        <v>8874365</v>
      </c>
      <c r="F32" s="8"/>
    </row>
    <row r="33" spans="1:6">
      <c r="A33" s="218">
        <v>14043</v>
      </c>
      <c r="B33" s="219" t="s">
        <v>25</v>
      </c>
      <c r="C33" s="239">
        <f>ROUND(VLOOKUP(A33,'Contribution Allocation_Report'!$A$9:$D$310,4,FALSE)*$C$311,0)</f>
        <v>19205647</v>
      </c>
      <c r="D33" s="239">
        <f>ROUND(VLOOKUP(A33,'Contribution Allocation_Report'!$A$9:$D$310,4,FALSE)*$D$311,0)</f>
        <v>15285320</v>
      </c>
      <c r="E33" s="239">
        <f>ROUND(VLOOKUP(A33,'Contribution Allocation_Report'!$A$9:$D$310,4,FALSE)*$E$311,0)</f>
        <v>12235736</v>
      </c>
      <c r="F33" s="8"/>
    </row>
    <row r="34" spans="1:6">
      <c r="A34" s="220">
        <v>3010</v>
      </c>
      <c r="B34" s="221" t="s">
        <v>26</v>
      </c>
      <c r="C34" s="240">
        <f>ROUND(VLOOKUP(A34,'Contribution Allocation_Report'!$A$9:$D$310,4,FALSE)*$C$311,0)</f>
        <v>120381022</v>
      </c>
      <c r="D34" s="240">
        <f>ROUND(VLOOKUP(A34,'Contribution Allocation_Report'!$A$9:$D$310,4,FALSE)*$D$311,0)</f>
        <v>95808405</v>
      </c>
      <c r="E34" s="240">
        <f>ROUND(VLOOKUP(A34,'Contribution Allocation_Report'!$A$9:$D$310,4,FALSE)*$E$311,0)</f>
        <v>76693606</v>
      </c>
      <c r="F34" s="8"/>
    </row>
    <row r="35" spans="1:6">
      <c r="A35" s="218">
        <v>29086</v>
      </c>
      <c r="B35" s="219" t="s">
        <v>27</v>
      </c>
      <c r="C35" s="239">
        <f>ROUND(VLOOKUP(A35,'Contribution Allocation_Report'!$A$9:$D$310,4,FALSE)*$C$311,0)</f>
        <v>17985631</v>
      </c>
      <c r="D35" s="239">
        <f>ROUND(VLOOKUP(A35,'Contribution Allocation_Report'!$A$9:$D$310,4,FALSE)*$D$311,0)</f>
        <v>14314338</v>
      </c>
      <c r="E35" s="239">
        <f>ROUND(VLOOKUP(A35,'Contribution Allocation_Report'!$A$9:$D$310,4,FALSE)*$E$311,0)</f>
        <v>11458475</v>
      </c>
      <c r="F35" s="8"/>
    </row>
    <row r="36" spans="1:6">
      <c r="A36" s="220">
        <v>16051</v>
      </c>
      <c r="B36" s="221" t="s">
        <v>28</v>
      </c>
      <c r="C36" s="240">
        <f>ROUND(VLOOKUP(A36,'Contribution Allocation_Report'!$A$9:$D$310,4,FALSE)*$C$311,0)</f>
        <v>15659290</v>
      </c>
      <c r="D36" s="240">
        <f>ROUND(VLOOKUP(A36,'Contribution Allocation_Report'!$A$9:$D$310,4,FALSE)*$D$311,0)</f>
        <v>12462858</v>
      </c>
      <c r="E36" s="240">
        <f>ROUND(VLOOKUP(A36,'Contribution Allocation_Report'!$A$9:$D$310,4,FALSE)*$E$311,0)</f>
        <v>9976385</v>
      </c>
      <c r="F36" s="8"/>
    </row>
    <row r="37" spans="1:6">
      <c r="A37" s="218">
        <v>26077</v>
      </c>
      <c r="B37" s="219" t="s">
        <v>29</v>
      </c>
      <c r="C37" s="239">
        <f>ROUND(VLOOKUP(A37,'Contribution Allocation_Report'!$A$9:$D$310,4,FALSE)*$C$311,0)</f>
        <v>2934902</v>
      </c>
      <c r="D37" s="239">
        <f>ROUND(VLOOKUP(A37,'Contribution Allocation_Report'!$A$9:$D$310,4,FALSE)*$D$311,0)</f>
        <v>2335819</v>
      </c>
      <c r="E37" s="239">
        <f>ROUND(VLOOKUP(A37,'Contribution Allocation_Report'!$A$9:$D$310,4,FALSE)*$E$311,0)</f>
        <v>1869798</v>
      </c>
      <c r="F37" s="8"/>
    </row>
    <row r="38" spans="1:6">
      <c r="A38" s="220">
        <v>3005</v>
      </c>
      <c r="B38" s="221" t="s">
        <v>30</v>
      </c>
      <c r="C38" s="240">
        <f>ROUND(VLOOKUP(A38,'Contribution Allocation_Report'!$A$9:$D$310,4,FALSE)*$C$311,0)</f>
        <v>34241492</v>
      </c>
      <c r="D38" s="240">
        <f>ROUND(VLOOKUP(A38,'Contribution Allocation_Report'!$A$9:$D$310,4,FALSE)*$D$311,0)</f>
        <v>27251993</v>
      </c>
      <c r="E38" s="240">
        <f>ROUND(VLOOKUP(A38,'Contribution Allocation_Report'!$A$9:$D$310,4,FALSE)*$E$311,0)</f>
        <v>21814930</v>
      </c>
      <c r="F38" s="8"/>
    </row>
    <row r="39" spans="1:6">
      <c r="A39" s="218">
        <v>26078</v>
      </c>
      <c r="B39" s="219" t="s">
        <v>31</v>
      </c>
      <c r="C39" s="239">
        <f>ROUND(VLOOKUP(A39,'Contribution Allocation_Report'!$A$9:$D$310,4,FALSE)*$C$311,0)</f>
        <v>1275415</v>
      </c>
      <c r="D39" s="239">
        <f>ROUND(VLOOKUP(A39,'Contribution Allocation_Report'!$A$9:$D$310,4,FALSE)*$D$311,0)</f>
        <v>1015073</v>
      </c>
      <c r="E39" s="239">
        <f>ROUND(VLOOKUP(A39,'Contribution Allocation_Report'!$A$9:$D$310,4,FALSE)*$E$311,0)</f>
        <v>812555</v>
      </c>
      <c r="F39" s="8"/>
    </row>
    <row r="40" spans="1:6">
      <c r="A40" s="220">
        <v>16053</v>
      </c>
      <c r="B40" s="221" t="s">
        <v>32</v>
      </c>
      <c r="C40" s="240">
        <f>ROUND(VLOOKUP(A40,'Contribution Allocation_Report'!$A$9:$D$310,4,FALSE)*$C$311,0)</f>
        <v>38237243</v>
      </c>
      <c r="D40" s="240">
        <f>ROUND(VLOOKUP(A40,'Contribution Allocation_Report'!$A$9:$D$310,4,FALSE)*$D$311,0)</f>
        <v>30432116</v>
      </c>
      <c r="E40" s="240">
        <f>ROUND(VLOOKUP(A40,'Contribution Allocation_Report'!$A$9:$D$310,4,FALSE)*$E$311,0)</f>
        <v>24360584</v>
      </c>
      <c r="F40" s="8"/>
    </row>
    <row r="41" spans="1:6">
      <c r="A41" s="218">
        <v>2123</v>
      </c>
      <c r="B41" s="219" t="s">
        <v>33</v>
      </c>
      <c r="C41" s="239">
        <f>ROUND(VLOOKUP(A41,'Contribution Allocation_Report'!$A$9:$D$310,4,FALSE)*$C$311,0)</f>
        <v>68658690</v>
      </c>
      <c r="D41" s="239">
        <f>ROUND(VLOOKUP(A41,'Contribution Allocation_Report'!$A$9:$D$310,4,FALSE)*$D$311,0)</f>
        <v>54643826</v>
      </c>
      <c r="E41" s="239">
        <f>ROUND(VLOOKUP(A41,'Contribution Allocation_Report'!$A$9:$D$310,4,FALSE)*$E$311,0)</f>
        <v>43741800</v>
      </c>
      <c r="F41" s="8"/>
    </row>
    <row r="42" spans="1:6">
      <c r="A42" s="220">
        <v>2150</v>
      </c>
      <c r="B42" s="221" t="s">
        <v>34</v>
      </c>
      <c r="C42" s="240">
        <f>ROUND(VLOOKUP(A42,'Contribution Allocation_Report'!$A$9:$D$310,4,FALSE)*$C$311,0)</f>
        <v>3320214</v>
      </c>
      <c r="D42" s="240">
        <f>ROUND(VLOOKUP(A42,'Contribution Allocation_Report'!$A$9:$D$310,4,FALSE)*$D$311,0)</f>
        <v>2642480</v>
      </c>
      <c r="E42" s="240">
        <f>ROUND(VLOOKUP(A42,'Contribution Allocation_Report'!$A$9:$D$310,4,FALSE)*$E$311,0)</f>
        <v>2115277</v>
      </c>
      <c r="F42" s="8"/>
    </row>
    <row r="43" spans="1:6">
      <c r="A43" s="218">
        <v>2336</v>
      </c>
      <c r="B43" s="219" t="s">
        <v>35</v>
      </c>
      <c r="C43" s="239">
        <f>ROUND(VLOOKUP(A43,'Contribution Allocation_Report'!$A$9:$D$310,4,FALSE)*$C$311,0)</f>
        <v>978163</v>
      </c>
      <c r="D43" s="239">
        <f>ROUND(VLOOKUP(A43,'Contribution Allocation_Report'!$A$9:$D$310,4,FALSE)*$D$311,0)</f>
        <v>778497</v>
      </c>
      <c r="E43" s="239">
        <f>ROUND(VLOOKUP(A43,'Contribution Allocation_Report'!$A$9:$D$310,4,FALSE)*$E$311,0)</f>
        <v>623178</v>
      </c>
      <c r="F43" s="8"/>
    </row>
    <row r="44" spans="1:6">
      <c r="A44" s="220">
        <v>17126</v>
      </c>
      <c r="B44" s="221" t="s">
        <v>36</v>
      </c>
      <c r="C44" s="240">
        <f>ROUND(VLOOKUP(A44,'Contribution Allocation_Report'!$A$9:$D$310,4,FALSE)*$C$311,0)</f>
        <v>2804260</v>
      </c>
      <c r="D44" s="240">
        <f>ROUND(VLOOKUP(A44,'Contribution Allocation_Report'!$A$9:$D$310,4,FALSE)*$D$311,0)</f>
        <v>2231844</v>
      </c>
      <c r="E44" s="240">
        <f>ROUND(VLOOKUP(A44,'Contribution Allocation_Report'!$A$9:$D$310,4,FALSE)*$E$311,0)</f>
        <v>1786568</v>
      </c>
      <c r="F44" s="8"/>
    </row>
    <row r="45" spans="1:6">
      <c r="A45" s="218">
        <v>3030</v>
      </c>
      <c r="B45" s="219" t="s">
        <v>37</v>
      </c>
      <c r="C45" s="239">
        <f>ROUND(VLOOKUP(A45,'Contribution Allocation_Report'!$A$9:$D$310,4,FALSE)*$C$311,0)</f>
        <v>8787343</v>
      </c>
      <c r="D45" s="239">
        <f>ROUND(VLOOKUP(A45,'Contribution Allocation_Report'!$A$9:$D$310,4,FALSE)*$D$311,0)</f>
        <v>6993638</v>
      </c>
      <c r="E45" s="239">
        <f>ROUND(VLOOKUP(A45,'Contribution Allocation_Report'!$A$9:$D$310,4,FALSE)*$E$311,0)</f>
        <v>5598333</v>
      </c>
      <c r="F45" s="8"/>
    </row>
    <row r="46" spans="1:6">
      <c r="A46" s="220">
        <v>2353</v>
      </c>
      <c r="B46" s="221" t="s">
        <v>38</v>
      </c>
      <c r="C46" s="240">
        <f>ROUND(VLOOKUP(A46,'Contribution Allocation_Report'!$A$9:$D$310,4,FALSE)*$C$311,0)</f>
        <v>1742172</v>
      </c>
      <c r="D46" s="240">
        <f>ROUND(VLOOKUP(A46,'Contribution Allocation_Report'!$A$9:$D$310,4,FALSE)*$D$311,0)</f>
        <v>1386553</v>
      </c>
      <c r="E46" s="240">
        <f>ROUND(VLOOKUP(A46,'Contribution Allocation_Report'!$A$9:$D$310,4,FALSE)*$E$311,0)</f>
        <v>1109921</v>
      </c>
      <c r="F46" s="8"/>
    </row>
    <row r="47" spans="1:6">
      <c r="A47" s="218">
        <v>3040</v>
      </c>
      <c r="B47" s="219" t="s">
        <v>39</v>
      </c>
      <c r="C47" s="239">
        <f>ROUND(VLOOKUP(A47,'Contribution Allocation_Report'!$A$9:$D$310,4,FALSE)*$C$311,0)</f>
        <v>3086629</v>
      </c>
      <c r="D47" s="239">
        <f>ROUND(VLOOKUP(A47,'Contribution Allocation_Report'!$A$9:$D$310,4,FALSE)*$D$311,0)</f>
        <v>2456575</v>
      </c>
      <c r="E47" s="239">
        <f>ROUND(VLOOKUP(A47,'Contribution Allocation_Report'!$A$9:$D$310,4,FALSE)*$E$311,0)</f>
        <v>1966462</v>
      </c>
      <c r="F47" s="8"/>
    </row>
    <row r="48" spans="1:6">
      <c r="A48" s="220">
        <v>2367</v>
      </c>
      <c r="B48" s="221" t="s">
        <v>40</v>
      </c>
      <c r="C48" s="240">
        <f>ROUND(VLOOKUP(A48,'Contribution Allocation_Report'!$A$9:$D$310,4,FALSE)*$C$311,0)</f>
        <v>2095237</v>
      </c>
      <c r="D48" s="240">
        <f>ROUND(VLOOKUP(A48,'Contribution Allocation_Report'!$A$9:$D$310,4,FALSE)*$D$311,0)</f>
        <v>1667549</v>
      </c>
      <c r="E48" s="240">
        <f>ROUND(VLOOKUP(A48,'Contribution Allocation_Report'!$A$9:$D$310,4,FALSE)*$E$311,0)</f>
        <v>1334855</v>
      </c>
      <c r="F48" s="8"/>
    </row>
    <row r="49" spans="1:6">
      <c r="A49" s="218">
        <v>9027</v>
      </c>
      <c r="B49" s="219" t="s">
        <v>41</v>
      </c>
      <c r="C49" s="239">
        <f>ROUND(VLOOKUP(A49,'Contribution Allocation_Report'!$A$9:$D$310,4,FALSE)*$C$311,0)</f>
        <v>3070092</v>
      </c>
      <c r="D49" s="239">
        <f>ROUND(VLOOKUP(A49,'Contribution Allocation_Report'!$A$9:$D$310,4,FALSE)*$D$311,0)</f>
        <v>2443414</v>
      </c>
      <c r="E49" s="239">
        <f>ROUND(VLOOKUP(A49,'Contribution Allocation_Report'!$A$9:$D$310,4,FALSE)*$E$311,0)</f>
        <v>1955927</v>
      </c>
      <c r="F49" s="8"/>
    </row>
    <row r="50" spans="1:6">
      <c r="A50" s="220">
        <v>2010</v>
      </c>
      <c r="B50" s="221" t="s">
        <v>42</v>
      </c>
      <c r="C50" s="240">
        <f>ROUND(VLOOKUP(A50,'Contribution Allocation_Report'!$A$9:$D$310,4,FALSE)*$C$311,0)</f>
        <v>11069861</v>
      </c>
      <c r="D50" s="240">
        <f>ROUND(VLOOKUP(A50,'Contribution Allocation_Report'!$A$9:$D$310,4,FALSE)*$D$311,0)</f>
        <v>8810241</v>
      </c>
      <c r="E50" s="240">
        <f>ROUND(VLOOKUP(A50,'Contribution Allocation_Report'!$A$9:$D$310,4,FALSE)*$E$311,0)</f>
        <v>7052504</v>
      </c>
      <c r="F50" s="8"/>
    </row>
    <row r="51" spans="1:6">
      <c r="A51" s="218">
        <v>2020</v>
      </c>
      <c r="B51" s="219" t="s">
        <v>43</v>
      </c>
      <c r="C51" s="239">
        <f>ROUND(VLOOKUP(A51,'Contribution Allocation_Report'!$A$9:$D$310,4,FALSE)*$C$311,0)</f>
        <v>286285898</v>
      </c>
      <c r="D51" s="239">
        <f>ROUND(VLOOKUP(A51,'Contribution Allocation_Report'!$A$9:$D$310,4,FALSE)*$D$311,0)</f>
        <v>227848168</v>
      </c>
      <c r="E51" s="239">
        <f>ROUND(VLOOKUP(A51,'Contribution Allocation_Report'!$A$9:$D$310,4,FALSE)*$E$311,0)</f>
        <v>182390027</v>
      </c>
      <c r="F51" s="8"/>
    </row>
    <row r="52" spans="1:6">
      <c r="A52" s="220">
        <v>2040</v>
      </c>
      <c r="B52" s="221" t="s">
        <v>44</v>
      </c>
      <c r="C52" s="240">
        <f>ROUND(VLOOKUP(A52,'Contribution Allocation_Report'!$A$9:$D$310,4,FALSE)*$C$311,0)</f>
        <v>3659223</v>
      </c>
      <c r="D52" s="240">
        <f>ROUND(VLOOKUP(A52,'Contribution Allocation_Report'!$A$9:$D$310,4,FALSE)*$D$311,0)</f>
        <v>2912289</v>
      </c>
      <c r="E52" s="240">
        <f>ROUND(VLOOKUP(A52,'Contribution Allocation_Report'!$A$9:$D$310,4,FALSE)*$E$311,0)</f>
        <v>2331256</v>
      </c>
      <c r="F52" s="8"/>
    </row>
    <row r="53" spans="1:6">
      <c r="A53" s="218">
        <v>2060</v>
      </c>
      <c r="B53" s="219" t="s">
        <v>45</v>
      </c>
      <c r="C53" s="239">
        <f>ROUND(VLOOKUP(A53,'Contribution Allocation_Report'!$A$9:$D$310,4,FALSE)*$C$311,0)</f>
        <v>3883712</v>
      </c>
      <c r="D53" s="239">
        <f>ROUND(VLOOKUP(A53,'Contribution Allocation_Report'!$A$9:$D$310,4,FALSE)*$D$311,0)</f>
        <v>3090955</v>
      </c>
      <c r="E53" s="239">
        <f>ROUND(VLOOKUP(A53,'Contribution Allocation_Report'!$A$9:$D$310,4,FALSE)*$E$311,0)</f>
        <v>2474276</v>
      </c>
      <c r="F53" s="8"/>
    </row>
    <row r="54" spans="1:6">
      <c r="A54" s="220">
        <v>2090</v>
      </c>
      <c r="B54" s="221" t="s">
        <v>46</v>
      </c>
      <c r="C54" s="240">
        <f>ROUND(VLOOKUP(A54,'Contribution Allocation_Report'!$A$9:$D$310,4,FALSE)*$C$311,0)</f>
        <v>2999397</v>
      </c>
      <c r="D54" s="240">
        <f>ROUND(VLOOKUP(A54,'Contribution Allocation_Report'!$A$9:$D$310,4,FALSE)*$D$311,0)</f>
        <v>2387149</v>
      </c>
      <c r="E54" s="240">
        <f>ROUND(VLOOKUP(A54,'Contribution Allocation_Report'!$A$9:$D$310,4,FALSE)*$E$311,0)</f>
        <v>1910887</v>
      </c>
      <c r="F54" s="8"/>
    </row>
    <row r="55" spans="1:6">
      <c r="A55" s="218">
        <v>2110</v>
      </c>
      <c r="B55" s="219" t="s">
        <v>47</v>
      </c>
      <c r="C55" s="239">
        <f>ROUND(VLOOKUP(A55,'Contribution Allocation_Report'!$A$9:$D$310,4,FALSE)*$C$311,0)</f>
        <v>25553371</v>
      </c>
      <c r="D55" s="239">
        <f>ROUND(VLOOKUP(A55,'Contribution Allocation_Report'!$A$9:$D$310,4,FALSE)*$D$311,0)</f>
        <v>20337323</v>
      </c>
      <c r="E55" s="239">
        <f>ROUND(VLOOKUP(A55,'Contribution Allocation_Report'!$A$9:$D$310,4,FALSE)*$E$311,0)</f>
        <v>16279810</v>
      </c>
      <c r="F55" s="8"/>
    </row>
    <row r="56" spans="1:6">
      <c r="A56" s="220">
        <v>2180</v>
      </c>
      <c r="B56" s="221" t="s">
        <v>48</v>
      </c>
      <c r="C56" s="240">
        <f>ROUND(VLOOKUP(A56,'Contribution Allocation_Report'!$A$9:$D$310,4,FALSE)*$C$311,0)</f>
        <v>11886375</v>
      </c>
      <c r="D56" s="240">
        <f>ROUND(VLOOKUP(A56,'Contribution Allocation_Report'!$A$9:$D$310,4,FALSE)*$D$311,0)</f>
        <v>9460085</v>
      </c>
      <c r="E56" s="240">
        <f>ROUND(VLOOKUP(A56,'Contribution Allocation_Report'!$A$9:$D$310,4,FALSE)*$E$311,0)</f>
        <v>7572697</v>
      </c>
      <c r="F56" s="8"/>
    </row>
    <row r="57" spans="1:6">
      <c r="A57" s="218">
        <v>2210</v>
      </c>
      <c r="B57" s="219" t="s">
        <v>49</v>
      </c>
      <c r="C57" s="239">
        <f>ROUND(VLOOKUP(A57,'Contribution Allocation_Report'!$A$9:$D$310,4,FALSE)*$C$311,0)</f>
        <v>5654410</v>
      </c>
      <c r="D57" s="239">
        <f>ROUND(VLOOKUP(A57,'Contribution Allocation_Report'!$A$9:$D$310,4,FALSE)*$D$311,0)</f>
        <v>4500211</v>
      </c>
      <c r="E57" s="239">
        <f>ROUND(VLOOKUP(A57,'Contribution Allocation_Report'!$A$9:$D$310,4,FALSE)*$E$311,0)</f>
        <v>3602371</v>
      </c>
      <c r="F57" s="8"/>
    </row>
    <row r="58" spans="1:6">
      <c r="A58" s="220">
        <v>2290</v>
      </c>
      <c r="B58" s="221" t="s">
        <v>50</v>
      </c>
      <c r="C58" s="240">
        <f>ROUND(VLOOKUP(A58,'Contribution Allocation_Report'!$A$9:$D$310,4,FALSE)*$C$311,0)</f>
        <v>5556842</v>
      </c>
      <c r="D58" s="240">
        <f>ROUND(VLOOKUP(A58,'Contribution Allocation_Report'!$A$9:$D$310,4,FALSE)*$D$311,0)</f>
        <v>4422559</v>
      </c>
      <c r="E58" s="240">
        <f>ROUND(VLOOKUP(A58,'Contribution Allocation_Report'!$A$9:$D$310,4,FALSE)*$E$311,0)</f>
        <v>3540211</v>
      </c>
      <c r="F58" s="8"/>
    </row>
    <row r="59" spans="1:6">
      <c r="A59" s="218">
        <v>2310</v>
      </c>
      <c r="B59" s="219" t="s">
        <v>51</v>
      </c>
      <c r="C59" s="239">
        <f>ROUND(VLOOKUP(A59,'Contribution Allocation_Report'!$A$9:$D$310,4,FALSE)*$C$311,0)</f>
        <v>39018615</v>
      </c>
      <c r="D59" s="239">
        <f>ROUND(VLOOKUP(A59,'Contribution Allocation_Report'!$A$9:$D$310,4,FALSE)*$D$311,0)</f>
        <v>31053992</v>
      </c>
      <c r="E59" s="239">
        <f>ROUND(VLOOKUP(A59,'Contribution Allocation_Report'!$A$9:$D$310,4,FALSE)*$E$311,0)</f>
        <v>24858389</v>
      </c>
      <c r="F59" s="8"/>
    </row>
    <row r="60" spans="1:6">
      <c r="A60" s="220">
        <v>2330</v>
      </c>
      <c r="B60" s="221" t="s">
        <v>52</v>
      </c>
      <c r="C60" s="240">
        <f>ROUND(VLOOKUP(A60,'Contribution Allocation_Report'!$A$9:$D$310,4,FALSE)*$C$311,0)</f>
        <v>13106805</v>
      </c>
      <c r="D60" s="240">
        <f>ROUND(VLOOKUP(A60,'Contribution Allocation_Report'!$A$9:$D$310,4,FALSE)*$D$311,0)</f>
        <v>10431396</v>
      </c>
      <c r="E60" s="240">
        <f>ROUND(VLOOKUP(A60,'Contribution Allocation_Report'!$A$9:$D$310,4,FALSE)*$E$311,0)</f>
        <v>8350221</v>
      </c>
      <c r="F60" s="8"/>
    </row>
    <row r="61" spans="1:6">
      <c r="A61" s="218">
        <v>2380</v>
      </c>
      <c r="B61" s="219" t="s">
        <v>53</v>
      </c>
      <c r="C61" s="239">
        <f>ROUND(VLOOKUP(A61,'Contribution Allocation_Report'!$A$9:$D$310,4,FALSE)*$C$311,0)</f>
        <v>1921598</v>
      </c>
      <c r="D61" s="239">
        <f>ROUND(VLOOKUP(A61,'Contribution Allocation_Report'!$A$9:$D$310,4,FALSE)*$D$311,0)</f>
        <v>1529355</v>
      </c>
      <c r="E61" s="239">
        <f>ROUND(VLOOKUP(A61,'Contribution Allocation_Report'!$A$9:$D$310,4,FALSE)*$E$311,0)</f>
        <v>1224232</v>
      </c>
      <c r="F61" s="8"/>
    </row>
    <row r="62" spans="1:6">
      <c r="A62" s="220">
        <v>2400</v>
      </c>
      <c r="B62" s="221" t="s">
        <v>54</v>
      </c>
      <c r="C62" s="240">
        <f>ROUND(VLOOKUP(A62,'Contribution Allocation_Report'!$A$9:$D$310,4,FALSE)*$C$311,0)</f>
        <v>66564694</v>
      </c>
      <c r="D62" s="240">
        <f>ROUND(VLOOKUP(A62,'Contribution Allocation_Report'!$A$9:$D$310,4,FALSE)*$D$311,0)</f>
        <v>52977264</v>
      </c>
      <c r="E62" s="240">
        <f>ROUND(VLOOKUP(A62,'Contribution Allocation_Report'!$A$9:$D$310,4,FALSE)*$E$311,0)</f>
        <v>42407734</v>
      </c>
      <c r="F62" s="8"/>
    </row>
    <row r="63" spans="1:6">
      <c r="A63" s="218">
        <v>2410</v>
      </c>
      <c r="B63" s="219" t="s">
        <v>55</v>
      </c>
      <c r="C63" s="239">
        <f>ROUND(VLOOKUP(A63,'Contribution Allocation_Report'!$A$9:$D$310,4,FALSE)*$C$311,0)</f>
        <v>8115528</v>
      </c>
      <c r="D63" s="239">
        <f>ROUND(VLOOKUP(A63,'Contribution Allocation_Report'!$A$9:$D$310,4,FALSE)*$D$311,0)</f>
        <v>6458957</v>
      </c>
      <c r="E63" s="239">
        <f>ROUND(VLOOKUP(A63,'Contribution Allocation_Report'!$A$9:$D$310,4,FALSE)*$E$311,0)</f>
        <v>5170326</v>
      </c>
      <c r="F63" s="8"/>
    </row>
    <row r="64" spans="1:6">
      <c r="A64" s="220">
        <v>2500</v>
      </c>
      <c r="B64" s="221" t="s">
        <v>56</v>
      </c>
      <c r="C64" s="240">
        <f>ROUND(VLOOKUP(A64,'Contribution Allocation_Report'!$A$9:$D$310,4,FALSE)*$C$311,0)</f>
        <v>1179501</v>
      </c>
      <c r="D64" s="240">
        <f>ROUND(VLOOKUP(A64,'Contribution Allocation_Report'!$A$9:$D$310,4,FALSE)*$D$311,0)</f>
        <v>938737</v>
      </c>
      <c r="E64" s="240">
        <f>ROUND(VLOOKUP(A64,'Contribution Allocation_Report'!$A$9:$D$310,4,FALSE)*$E$311,0)</f>
        <v>751449</v>
      </c>
      <c r="F64" s="8"/>
    </row>
    <row r="65" spans="1:6">
      <c r="A65" s="218">
        <v>2550</v>
      </c>
      <c r="B65" s="219" t="s">
        <v>57</v>
      </c>
      <c r="C65" s="239">
        <f>ROUND(VLOOKUP(A65,'Contribution Allocation_Report'!$A$9:$D$310,4,FALSE)*$C$311,0)</f>
        <v>4881306</v>
      </c>
      <c r="D65" s="239">
        <f>ROUND(VLOOKUP(A65,'Contribution Allocation_Report'!$A$9:$D$310,4,FALSE)*$D$311,0)</f>
        <v>3884916</v>
      </c>
      <c r="E65" s="239">
        <f>ROUND(VLOOKUP(A65,'Contribution Allocation_Report'!$A$9:$D$310,4,FALSE)*$E$311,0)</f>
        <v>3109834</v>
      </c>
      <c r="F65" s="8"/>
    </row>
    <row r="66" spans="1:6">
      <c r="A66" s="220">
        <v>2570</v>
      </c>
      <c r="B66" s="221" t="s">
        <v>58</v>
      </c>
      <c r="C66" s="240">
        <f>ROUND(VLOOKUP(A66,'Contribution Allocation_Report'!$A$9:$D$310,4,FALSE)*$C$311,0)</f>
        <v>3124251</v>
      </c>
      <c r="D66" s="240">
        <f>ROUND(VLOOKUP(A66,'Contribution Allocation_Report'!$A$9:$D$310,4,FALSE)*$D$311,0)</f>
        <v>2486517</v>
      </c>
      <c r="E66" s="240">
        <f>ROUND(VLOOKUP(A66,'Contribution Allocation_Report'!$A$9:$D$310,4,FALSE)*$E$311,0)</f>
        <v>1990431</v>
      </c>
      <c r="F66" s="8"/>
    </row>
    <row r="67" spans="1:6">
      <c r="A67" s="218">
        <v>2620</v>
      </c>
      <c r="B67" s="219" t="s">
        <v>59</v>
      </c>
      <c r="C67" s="239">
        <f>ROUND(VLOOKUP(A67,'Contribution Allocation_Report'!$A$9:$D$310,4,FALSE)*$C$311,0)</f>
        <v>29294038</v>
      </c>
      <c r="D67" s="239">
        <f>ROUND(VLOOKUP(A67,'Contribution Allocation_Report'!$A$9:$D$310,4,FALSE)*$D$311,0)</f>
        <v>23314432</v>
      </c>
      <c r="E67" s="239">
        <f>ROUND(VLOOKUP(A67,'Contribution Allocation_Report'!$A$9:$D$310,4,FALSE)*$E$311,0)</f>
        <v>18662954</v>
      </c>
      <c r="F67" s="8"/>
    </row>
    <row r="68" spans="1:6">
      <c r="A68" s="220">
        <v>2630</v>
      </c>
      <c r="B68" s="221" t="s">
        <v>60</v>
      </c>
      <c r="C68" s="240">
        <f>ROUND(VLOOKUP(A68,'Contribution Allocation_Report'!$A$9:$D$310,4,FALSE)*$C$311,0)</f>
        <v>22541158</v>
      </c>
      <c r="D68" s="240">
        <f>ROUND(VLOOKUP(A68,'Contribution Allocation_Report'!$A$9:$D$310,4,FALSE)*$D$311,0)</f>
        <v>17939974</v>
      </c>
      <c r="E68" s="240">
        <f>ROUND(VLOOKUP(A68,'Contribution Allocation_Report'!$A$9:$D$310,4,FALSE)*$E$311,0)</f>
        <v>14360758</v>
      </c>
      <c r="F68" s="8"/>
    </row>
    <row r="69" spans="1:6">
      <c r="A69" s="218">
        <v>2690</v>
      </c>
      <c r="B69" s="219" t="s">
        <v>61</v>
      </c>
      <c r="C69" s="239">
        <f>ROUND(VLOOKUP(A69,'Contribution Allocation_Report'!$A$9:$D$310,4,FALSE)*$C$311,0)</f>
        <v>56379975</v>
      </c>
      <c r="D69" s="239">
        <f>ROUND(VLOOKUP(A69,'Contribution Allocation_Report'!$A$9:$D$310,4,FALSE)*$D$311,0)</f>
        <v>44871487</v>
      </c>
      <c r="E69" s="239">
        <f>ROUND(VLOOKUP(A69,'Contribution Allocation_Report'!$A$9:$D$310,4,FALSE)*$E$311,0)</f>
        <v>35919147</v>
      </c>
      <c r="F69" s="8"/>
    </row>
    <row r="70" spans="1:6">
      <c r="A70" s="220">
        <v>2710</v>
      </c>
      <c r="B70" s="221" t="s">
        <v>62</v>
      </c>
      <c r="C70" s="240">
        <f>ROUND(VLOOKUP(A70,'Contribution Allocation_Report'!$A$9:$D$310,4,FALSE)*$C$311,0)</f>
        <v>1009997</v>
      </c>
      <c r="D70" s="240">
        <f>ROUND(VLOOKUP(A70,'Contribution Allocation_Report'!$A$9:$D$310,4,FALSE)*$D$311,0)</f>
        <v>803832</v>
      </c>
      <c r="E70" s="240">
        <f>ROUND(VLOOKUP(A70,'Contribution Allocation_Report'!$A$9:$D$310,4,FALSE)*$E$311,0)</f>
        <v>643459</v>
      </c>
      <c r="F70" s="8"/>
    </row>
    <row r="71" spans="1:6">
      <c r="A71" s="218">
        <v>2730</v>
      </c>
      <c r="B71" s="219" t="s">
        <v>63</v>
      </c>
      <c r="C71" s="239">
        <f>ROUND(VLOOKUP(A71,'Contribution Allocation_Report'!$A$9:$D$310,4,FALSE)*$C$311,0)</f>
        <v>4158640</v>
      </c>
      <c r="D71" s="239">
        <f>ROUND(VLOOKUP(A71,'Contribution Allocation_Report'!$A$9:$D$310,4,FALSE)*$D$311,0)</f>
        <v>3309763</v>
      </c>
      <c r="E71" s="239">
        <f>ROUND(VLOOKUP(A71,'Contribution Allocation_Report'!$A$9:$D$310,4,FALSE)*$E$311,0)</f>
        <v>2649430</v>
      </c>
      <c r="F71" s="8"/>
    </row>
    <row r="72" spans="1:6">
      <c r="A72" s="220">
        <v>2950</v>
      </c>
      <c r="B72" s="221" t="s">
        <v>64</v>
      </c>
      <c r="C72" s="240">
        <f>ROUND(VLOOKUP(A72,'Contribution Allocation_Report'!$A$9:$D$310,4,FALSE)*$C$311,0)</f>
        <v>3521966</v>
      </c>
      <c r="D72" s="240">
        <f>ROUND(VLOOKUP(A72,'Contribution Allocation_Report'!$A$9:$D$310,4,FALSE)*$D$311,0)</f>
        <v>2803049</v>
      </c>
      <c r="E72" s="240">
        <f>ROUND(VLOOKUP(A72,'Contribution Allocation_Report'!$A$9:$D$310,4,FALSE)*$E$311,0)</f>
        <v>2243811</v>
      </c>
      <c r="F72" s="8"/>
    </row>
    <row r="73" spans="1:6">
      <c r="A73" s="218">
        <v>2760</v>
      </c>
      <c r="B73" s="219" t="s">
        <v>65</v>
      </c>
      <c r="C73" s="239">
        <f>ROUND(VLOOKUP(A73,'Contribution Allocation_Report'!$A$9:$D$310,4,FALSE)*$C$311,0)</f>
        <v>3348741</v>
      </c>
      <c r="D73" s="239">
        <f>ROUND(VLOOKUP(A73,'Contribution Allocation_Report'!$A$9:$D$310,4,FALSE)*$D$311,0)</f>
        <v>2665183</v>
      </c>
      <c r="E73" s="239">
        <f>ROUND(VLOOKUP(A73,'Contribution Allocation_Report'!$A$9:$D$310,4,FALSE)*$E$311,0)</f>
        <v>2133451</v>
      </c>
      <c r="F73" s="8"/>
    </row>
    <row r="74" spans="1:6">
      <c r="A74" s="220">
        <v>2780</v>
      </c>
      <c r="B74" s="221" t="s">
        <v>66</v>
      </c>
      <c r="C74" s="240">
        <f>ROUND(VLOOKUP(A74,'Contribution Allocation_Report'!$A$9:$D$310,4,FALSE)*$C$311,0)</f>
        <v>300560</v>
      </c>
      <c r="D74" s="240">
        <f>ROUND(VLOOKUP(A74,'Contribution Allocation_Report'!$A$9:$D$310,4,FALSE)*$D$311,0)</f>
        <v>239208</v>
      </c>
      <c r="E74" s="240">
        <f>ROUND(VLOOKUP(A74,'Contribution Allocation_Report'!$A$9:$D$310,4,FALSE)*$E$311,0)</f>
        <v>191484</v>
      </c>
      <c r="F74" s="8"/>
    </row>
    <row r="75" spans="1:6">
      <c r="A75" s="218">
        <v>2810</v>
      </c>
      <c r="B75" s="219" t="s">
        <v>67</v>
      </c>
      <c r="C75" s="239">
        <f>ROUND(VLOOKUP(A75,'Contribution Allocation_Report'!$A$9:$D$310,4,FALSE)*$C$311,0)</f>
        <v>2355281</v>
      </c>
      <c r="D75" s="239">
        <f>ROUND(VLOOKUP(A75,'Contribution Allocation_Report'!$A$9:$D$310,4,FALSE)*$D$311,0)</f>
        <v>1874512</v>
      </c>
      <c r="E75" s="239">
        <f>ROUND(VLOOKUP(A75,'Contribution Allocation_Report'!$A$9:$D$310,4,FALSE)*$E$311,0)</f>
        <v>1500527</v>
      </c>
      <c r="F75" s="8"/>
    </row>
    <row r="76" spans="1:6">
      <c r="A76" s="220">
        <v>18056</v>
      </c>
      <c r="B76" s="221" t="s">
        <v>68</v>
      </c>
      <c r="C76" s="240">
        <f>ROUND(VLOOKUP(A76,'Contribution Allocation_Report'!$A$9:$D$310,4,FALSE)*$C$311,0)</f>
        <v>2795578</v>
      </c>
      <c r="D76" s="240">
        <f>ROUND(VLOOKUP(A76,'Contribution Allocation_Report'!$A$9:$D$310,4,FALSE)*$D$311,0)</f>
        <v>2224935</v>
      </c>
      <c r="E76" s="240">
        <f>ROUND(VLOOKUP(A76,'Contribution Allocation_Report'!$A$9:$D$310,4,FALSE)*$E$311,0)</f>
        <v>1781036</v>
      </c>
      <c r="F76" s="8"/>
    </row>
    <row r="77" spans="1:6">
      <c r="A77" s="218">
        <v>15047</v>
      </c>
      <c r="B77" s="219" t="s">
        <v>69</v>
      </c>
      <c r="C77" s="239">
        <f>ROUND(VLOOKUP(A77,'Contribution Allocation_Report'!$A$9:$D$310,4,FALSE)*$C$311,0)</f>
        <v>2547937</v>
      </c>
      <c r="D77" s="239">
        <f>ROUND(VLOOKUP(A77,'Contribution Allocation_Report'!$A$9:$D$310,4,FALSE)*$D$311,0)</f>
        <v>2027843</v>
      </c>
      <c r="E77" s="239">
        <f>ROUND(VLOOKUP(A77,'Contribution Allocation_Report'!$A$9:$D$310,4,FALSE)*$E$311,0)</f>
        <v>1623266</v>
      </c>
      <c r="F77" s="8"/>
    </row>
    <row r="78" spans="1:6">
      <c r="A78" s="220">
        <v>5012</v>
      </c>
      <c r="B78" s="249" t="s">
        <v>70</v>
      </c>
      <c r="C78" s="272">
        <f>ROUND(VLOOKUP(A78,'Contribution Allocation_Report'!$A$9:$D$310,4,FALSE)*$C$311,0)</f>
        <v>42259866</v>
      </c>
      <c r="D78" s="272">
        <f>ROUND(VLOOKUP(A78,'Contribution Allocation_Report'!$A$9:$D$310,4,FALSE)*$D$311,0)</f>
        <v>33633627</v>
      </c>
      <c r="E78" s="272">
        <f>ROUND(VLOOKUP(A78,'Contribution Allocation_Report'!$A$9:$D$310,4,FALSE)*$E$311,0)</f>
        <v>26923359</v>
      </c>
      <c r="F78" s="8"/>
    </row>
    <row r="79" spans="1:6">
      <c r="A79" s="218">
        <v>8024</v>
      </c>
      <c r="B79" s="219" t="s">
        <v>71</v>
      </c>
      <c r="C79" s="239">
        <f>ROUND(VLOOKUP(A79,'Contribution Allocation_Report'!$A$9:$D$310,4,FALSE)*$C$311,0)</f>
        <v>8941964</v>
      </c>
      <c r="D79" s="239">
        <f>ROUND(VLOOKUP(A79,'Contribution Allocation_Report'!$A$9:$D$310,4,FALSE)*$D$311,0)</f>
        <v>7116698</v>
      </c>
      <c r="E79" s="239">
        <f>ROUND(VLOOKUP(A79,'Contribution Allocation_Report'!$A$9:$D$310,4,FALSE)*$E$311,0)</f>
        <v>5696840</v>
      </c>
      <c r="F79" s="8"/>
    </row>
    <row r="80" spans="1:6">
      <c r="A80" s="220">
        <v>3050</v>
      </c>
      <c r="B80" s="221" t="s">
        <v>72</v>
      </c>
      <c r="C80" s="240">
        <f>ROUND(VLOOKUP(A80,'Contribution Allocation_Report'!$A$9:$D$310,4,FALSE)*$C$311,0)</f>
        <v>2934489</v>
      </c>
      <c r="D80" s="240">
        <f>ROUND(VLOOKUP(A80,'Contribution Allocation_Report'!$A$9:$D$310,4,FALSE)*$D$311,0)</f>
        <v>2335490</v>
      </c>
      <c r="E80" s="240">
        <f>ROUND(VLOOKUP(A80,'Contribution Allocation_Report'!$A$9:$D$310,4,FALSE)*$E$311,0)</f>
        <v>1869535</v>
      </c>
      <c r="F80" s="8"/>
    </row>
    <row r="81" spans="1:6">
      <c r="A81" s="218">
        <v>2421</v>
      </c>
      <c r="B81" s="219" t="s">
        <v>73</v>
      </c>
      <c r="C81" s="239">
        <f>ROUND(VLOOKUP(A81,'Contribution Allocation_Report'!$A$9:$D$310,4,FALSE)*$C$311,0)</f>
        <v>1057541</v>
      </c>
      <c r="D81" s="239">
        <f>ROUND(VLOOKUP(A81,'Contribution Allocation_Report'!$A$9:$D$310,4,FALSE)*$D$311,0)</f>
        <v>841671</v>
      </c>
      <c r="E81" s="239">
        <f>ROUND(VLOOKUP(A81,'Contribution Allocation_Report'!$A$9:$D$310,4,FALSE)*$E$311,0)</f>
        <v>673749</v>
      </c>
      <c r="F81" s="8"/>
    </row>
    <row r="82" spans="1:6">
      <c r="A82" s="220">
        <v>26079</v>
      </c>
      <c r="B82" s="221" t="s">
        <v>74</v>
      </c>
      <c r="C82" s="240">
        <f>ROUND(VLOOKUP(A82,'Contribution Allocation_Report'!$A$9:$D$310,4,FALSE)*$C$311,0)</f>
        <v>943435</v>
      </c>
      <c r="D82" s="240">
        <f>ROUND(VLOOKUP(A82,'Contribution Allocation_Report'!$A$9:$D$310,4,FALSE)*$D$311,0)</f>
        <v>750858</v>
      </c>
      <c r="E82" s="240">
        <f>ROUND(VLOOKUP(A82,'Contribution Allocation_Report'!$A$9:$D$310,4,FALSE)*$E$311,0)</f>
        <v>601054</v>
      </c>
      <c r="F82" s="8"/>
    </row>
    <row r="83" spans="1:6">
      <c r="A83" s="218">
        <v>2363</v>
      </c>
      <c r="B83" s="219" t="s">
        <v>75</v>
      </c>
      <c r="C83" s="239">
        <f>ROUND(VLOOKUP(A83,'Contribution Allocation_Report'!$A$9:$D$310,4,FALSE)*$C$311,0)</f>
        <v>1229112</v>
      </c>
      <c r="D83" s="239">
        <f>ROUND(VLOOKUP(A83,'Contribution Allocation_Report'!$A$9:$D$310,4,FALSE)*$D$311,0)</f>
        <v>978221</v>
      </c>
      <c r="E83" s="239">
        <f>ROUND(VLOOKUP(A83,'Contribution Allocation_Report'!$A$9:$D$310,4,FALSE)*$E$311,0)</f>
        <v>783055</v>
      </c>
      <c r="F83" s="8"/>
    </row>
    <row r="84" spans="1:6">
      <c r="A84" s="220">
        <v>2364</v>
      </c>
      <c r="B84" s="221" t="s">
        <v>76</v>
      </c>
      <c r="C84" s="240">
        <f>ROUND(VLOOKUP(A84,'Contribution Allocation_Report'!$A$9:$D$310,4,FALSE)*$C$311,0)</f>
        <v>3181717</v>
      </c>
      <c r="D84" s="240">
        <f>ROUND(VLOOKUP(A84,'Contribution Allocation_Report'!$A$9:$D$310,4,FALSE)*$D$311,0)</f>
        <v>2532253</v>
      </c>
      <c r="E84" s="240">
        <f>ROUND(VLOOKUP(A84,'Contribution Allocation_Report'!$A$9:$D$310,4,FALSE)*$E$311,0)</f>
        <v>2027042</v>
      </c>
      <c r="F84" s="8"/>
    </row>
    <row r="85" spans="1:6">
      <c r="A85" s="218">
        <v>25319</v>
      </c>
      <c r="B85" s="219" t="s">
        <v>77</v>
      </c>
      <c r="C85" s="239">
        <f>ROUND(VLOOKUP(A85,'Contribution Allocation_Report'!$A$9:$D$310,4,FALSE)*$C$311,0)</f>
        <v>966587</v>
      </c>
      <c r="D85" s="239">
        <f>ROUND(VLOOKUP(A85,'Contribution Allocation_Report'!$A$9:$D$310,4,FALSE)*$D$311,0)</f>
        <v>769284</v>
      </c>
      <c r="E85" s="239">
        <f>ROUND(VLOOKUP(A85,'Contribution Allocation_Report'!$A$9:$D$310,4,FALSE)*$E$311,0)</f>
        <v>615803</v>
      </c>
      <c r="F85" s="8"/>
    </row>
    <row r="86" spans="1:6">
      <c r="A86" s="220">
        <v>29087</v>
      </c>
      <c r="B86" s="221" t="s">
        <v>78</v>
      </c>
      <c r="C86" s="240">
        <f>ROUND(VLOOKUP(A86,'Contribution Allocation_Report'!$A$9:$D$310,4,FALSE)*$C$311,0)</f>
        <v>5599838</v>
      </c>
      <c r="D86" s="240">
        <f>ROUND(VLOOKUP(A86,'Contribution Allocation_Report'!$A$9:$D$310,4,FALSE)*$D$311,0)</f>
        <v>4456779</v>
      </c>
      <c r="E86" s="240">
        <f>ROUND(VLOOKUP(A86,'Contribution Allocation_Report'!$A$9:$D$310,4,FALSE)*$E$311,0)</f>
        <v>3567604</v>
      </c>
      <c r="F86" s="8"/>
    </row>
    <row r="87" spans="1:6">
      <c r="A87" s="218">
        <v>3060</v>
      </c>
      <c r="B87" s="219" t="s">
        <v>79</v>
      </c>
      <c r="C87" s="239">
        <f>ROUND(VLOOKUP(A87,'Contribution Allocation_Report'!$A$9:$D$310,4,FALSE)*$C$311,0)</f>
        <v>4941666</v>
      </c>
      <c r="D87" s="239">
        <f>ROUND(VLOOKUP(A87,'Contribution Allocation_Report'!$A$9:$D$310,4,FALSE)*$D$311,0)</f>
        <v>3932955</v>
      </c>
      <c r="E87" s="239">
        <f>ROUND(VLOOKUP(A87,'Contribution Allocation_Report'!$A$9:$D$310,4,FALSE)*$E$311,0)</f>
        <v>3148289</v>
      </c>
      <c r="F87" s="8"/>
    </row>
    <row r="88" spans="1:6">
      <c r="A88" s="220">
        <v>19301</v>
      </c>
      <c r="B88" s="221" t="s">
        <v>80</v>
      </c>
      <c r="C88" s="240">
        <f>ROUND(VLOOKUP(A88,'Contribution Allocation_Report'!$A$9:$D$310,4,FALSE)*$C$311,0)</f>
        <v>738790</v>
      </c>
      <c r="D88" s="240">
        <f>ROUND(VLOOKUP(A88,'Contribution Allocation_Report'!$A$9:$D$310,4,FALSE)*$D$311,0)</f>
        <v>587986</v>
      </c>
      <c r="E88" s="240">
        <f>ROUND(VLOOKUP(A88,'Contribution Allocation_Report'!$A$9:$D$310,4,FALSE)*$E$311,0)</f>
        <v>470676</v>
      </c>
      <c r="F88" s="8"/>
    </row>
    <row r="89" spans="1:6">
      <c r="A89" s="218">
        <v>19059</v>
      </c>
      <c r="B89" s="219" t="s">
        <v>81</v>
      </c>
      <c r="C89" s="239">
        <f>ROUND(VLOOKUP(A89,'Contribution Allocation_Report'!$A$9:$D$310,4,FALSE)*$C$311,0)</f>
        <v>28957511</v>
      </c>
      <c r="D89" s="239">
        <f>ROUND(VLOOKUP(A89,'Contribution Allocation_Report'!$A$9:$D$310,4,FALSE)*$D$311,0)</f>
        <v>23046597</v>
      </c>
      <c r="E89" s="239">
        <f>ROUND(VLOOKUP(A89,'Contribution Allocation_Report'!$A$9:$D$310,4,FALSE)*$E$311,0)</f>
        <v>18448555</v>
      </c>
      <c r="F89" s="8"/>
    </row>
    <row r="90" spans="1:6">
      <c r="A90" s="220">
        <v>18057</v>
      </c>
      <c r="B90" s="221" t="s">
        <v>82</v>
      </c>
      <c r="C90" s="240">
        <f>ROUND(VLOOKUP(A90,'Contribution Allocation_Report'!$A$9:$D$310,4,FALSE)*$C$311,0)</f>
        <v>1060848</v>
      </c>
      <c r="D90" s="240">
        <f>ROUND(VLOOKUP(A90,'Contribution Allocation_Report'!$A$9:$D$310,4,FALSE)*$D$311,0)</f>
        <v>844304</v>
      </c>
      <c r="E90" s="240">
        <f>ROUND(VLOOKUP(A90,'Contribution Allocation_Report'!$A$9:$D$310,4,FALSE)*$E$311,0)</f>
        <v>675856</v>
      </c>
      <c r="F90" s="8"/>
    </row>
    <row r="91" spans="1:6">
      <c r="A91" s="218">
        <v>4008</v>
      </c>
      <c r="B91" s="219" t="s">
        <v>83</v>
      </c>
      <c r="C91" s="239">
        <f>ROUND(VLOOKUP(A91,'Contribution Allocation_Report'!$A$9:$D$310,4,FALSE)*$C$311,0)</f>
        <v>4832935</v>
      </c>
      <c r="D91" s="239">
        <f>ROUND(VLOOKUP(A91,'Contribution Allocation_Report'!$A$9:$D$310,4,FALSE)*$D$311,0)</f>
        <v>3846419</v>
      </c>
      <c r="E91" s="239">
        <f>ROUND(VLOOKUP(A91,'Contribution Allocation_Report'!$A$9:$D$310,4,FALSE)*$E$311,0)</f>
        <v>3079017</v>
      </c>
      <c r="F91" s="8"/>
    </row>
    <row r="92" spans="1:6">
      <c r="A92" s="220">
        <v>2350</v>
      </c>
      <c r="B92" s="221" t="s">
        <v>84</v>
      </c>
      <c r="C92" s="240">
        <f>ROUND(VLOOKUP(A92,'Contribution Allocation_Report'!$A$9:$D$310,4,FALSE)*$C$311,0)</f>
        <v>1598300</v>
      </c>
      <c r="D92" s="240">
        <f>ROUND(VLOOKUP(A92,'Contribution Allocation_Report'!$A$9:$D$310,4,FALSE)*$D$311,0)</f>
        <v>1272049</v>
      </c>
      <c r="E92" s="240">
        <f>ROUND(VLOOKUP(A92,'Contribution Allocation_Report'!$A$9:$D$310,4,FALSE)*$E$311,0)</f>
        <v>1018262</v>
      </c>
      <c r="F92" s="8"/>
    </row>
    <row r="93" spans="1:6">
      <c r="A93" s="218">
        <v>11117</v>
      </c>
      <c r="B93" s="219" t="s">
        <v>85</v>
      </c>
      <c r="C93" s="239">
        <f>ROUND(VLOOKUP(A93,'Contribution Allocation_Report'!$A$9:$D$310,4,FALSE)*$C$311,0)</f>
        <v>1788889</v>
      </c>
      <c r="D93" s="239">
        <f>ROUND(VLOOKUP(A93,'Contribution Allocation_Report'!$A$9:$D$310,4,FALSE)*$D$311,0)</f>
        <v>1423734</v>
      </c>
      <c r="E93" s="239">
        <f>ROUND(VLOOKUP(A93,'Contribution Allocation_Report'!$A$9:$D$310,4,FALSE)*$E$311,0)</f>
        <v>1139684</v>
      </c>
      <c r="F93" s="8"/>
    </row>
    <row r="94" spans="1:6">
      <c r="A94" s="220">
        <v>16359</v>
      </c>
      <c r="B94" s="221" t="s">
        <v>86</v>
      </c>
      <c r="C94" s="240">
        <f>ROUND(VLOOKUP(A94,'Contribution Allocation_Report'!$A$9:$D$310,4,FALSE)*$C$311,0)</f>
        <v>288157</v>
      </c>
      <c r="D94" s="240">
        <f>ROUND(VLOOKUP(A94,'Contribution Allocation_Report'!$A$9:$D$310,4,FALSE)*$D$311,0)</f>
        <v>229337</v>
      </c>
      <c r="E94" s="240">
        <f>ROUND(VLOOKUP(A94,'Contribution Allocation_Report'!$A$9:$D$310,4,FALSE)*$E$311,0)</f>
        <v>183582</v>
      </c>
      <c r="F94" s="8"/>
    </row>
    <row r="95" spans="1:6">
      <c r="A95" s="218">
        <v>17115</v>
      </c>
      <c r="B95" s="219" t="s">
        <v>87</v>
      </c>
      <c r="C95" s="239">
        <f>ROUND(VLOOKUP(A95,'Contribution Allocation_Report'!$A$9:$D$310,4,FALSE)*$C$311,0)</f>
        <v>4985903</v>
      </c>
      <c r="D95" s="239">
        <f>ROUND(VLOOKUP(A95,'Contribution Allocation_Report'!$A$9:$D$310,4,FALSE)*$D$311,0)</f>
        <v>3968162</v>
      </c>
      <c r="E95" s="239">
        <f>ROUND(VLOOKUP(A95,'Contribution Allocation_Report'!$A$9:$D$310,4,FALSE)*$E$311,0)</f>
        <v>3176471</v>
      </c>
      <c r="F95" s="8"/>
    </row>
    <row r="96" spans="1:6">
      <c r="A96" s="220">
        <v>32117</v>
      </c>
      <c r="B96" s="221" t="s">
        <v>88</v>
      </c>
      <c r="C96" s="240">
        <f>ROUND(VLOOKUP(A96,'Contribution Allocation_Report'!$A$9:$D$310,4,FALSE)*$C$311,0)</f>
        <v>328259</v>
      </c>
      <c r="D96" s="240">
        <f>ROUND(VLOOKUP(A96,'Contribution Allocation_Report'!$A$9:$D$310,4,FALSE)*$D$311,0)</f>
        <v>261254</v>
      </c>
      <c r="E96" s="240">
        <f>ROUND(VLOOKUP(A96,'Contribution Allocation_Report'!$A$9:$D$310,4,FALSE)*$E$311,0)</f>
        <v>209131</v>
      </c>
      <c r="F96" s="8"/>
    </row>
    <row r="97" spans="1:6">
      <c r="A97" s="218">
        <v>2304</v>
      </c>
      <c r="B97" s="219" t="s">
        <v>89</v>
      </c>
      <c r="C97" s="239">
        <f>ROUND(VLOOKUP(A97,'Contribution Allocation_Report'!$A$9:$D$310,4,FALSE)*$C$311,0)</f>
        <v>1931520</v>
      </c>
      <c r="D97" s="239">
        <f>ROUND(VLOOKUP(A97,'Contribution Allocation_Report'!$A$9:$D$310,4,FALSE)*$D$311,0)</f>
        <v>1537251</v>
      </c>
      <c r="E97" s="239">
        <f>ROUND(VLOOKUP(A97,'Contribution Allocation_Report'!$A$9:$D$310,4,FALSE)*$E$311,0)</f>
        <v>1230553</v>
      </c>
      <c r="F97" s="8"/>
    </row>
    <row r="98" spans="1:6">
      <c r="A98" s="220">
        <v>11101</v>
      </c>
      <c r="B98" s="221" t="s">
        <v>91</v>
      </c>
      <c r="C98" s="240">
        <f>ROUND(VLOOKUP(A98,'Contribution Allocation_Report'!$A$9:$D$310,4,FALSE)*$C$311,0)</f>
        <v>26222292</v>
      </c>
      <c r="D98" s="240">
        <f>ROUND(VLOOKUP(A98,'Contribution Allocation_Report'!$A$9:$D$310,4,FALSE)*$D$311,0)</f>
        <v>20869702</v>
      </c>
      <c r="E98" s="240">
        <f>ROUND(VLOOKUP(A98,'Contribution Allocation_Report'!$A$9:$D$310,4,FALSE)*$E$311,0)</f>
        <v>16705973</v>
      </c>
      <c r="F98" s="8"/>
    </row>
    <row r="99" spans="1:6">
      <c r="A99" s="218">
        <v>11102</v>
      </c>
      <c r="B99" s="219" t="s">
        <v>90</v>
      </c>
      <c r="C99" s="239">
        <f>ROUND(VLOOKUP(A99,'Contribution Allocation_Report'!$A$9:$D$310,4,FALSE)*$C$311,0)</f>
        <v>8227980</v>
      </c>
      <c r="D99" s="239">
        <f>ROUND(VLOOKUP(A99,'Contribution Allocation_Report'!$A$9:$D$310,4,FALSE)*$D$311,0)</f>
        <v>6548454</v>
      </c>
      <c r="E99" s="239">
        <f>ROUND(VLOOKUP(A99,'Contribution Allocation_Report'!$A$9:$D$310,4,FALSE)*$E$311,0)</f>
        <v>5241968</v>
      </c>
      <c r="F99" s="8"/>
    </row>
    <row r="100" spans="1:6">
      <c r="A100" s="220">
        <v>3100</v>
      </c>
      <c r="B100" s="221" t="s">
        <v>92</v>
      </c>
      <c r="C100" s="240">
        <f>ROUND(VLOOKUP(A100,'Contribution Allocation_Report'!$A$9:$D$310,4,FALSE)*$C$311,0)</f>
        <v>18689280</v>
      </c>
      <c r="D100" s="240">
        <f>ROUND(VLOOKUP(A100,'Contribution Allocation_Report'!$A$9:$D$310,4,FALSE)*$D$311,0)</f>
        <v>14874355</v>
      </c>
      <c r="E100" s="240">
        <f>ROUND(VLOOKUP(A100,'Contribution Allocation_Report'!$A$9:$D$310,4,FALSE)*$E$311,0)</f>
        <v>11906763</v>
      </c>
      <c r="F100" s="8"/>
    </row>
    <row r="101" spans="1:6">
      <c r="A101" s="218">
        <v>2323</v>
      </c>
      <c r="B101" s="219" t="s">
        <v>93</v>
      </c>
      <c r="C101" s="239">
        <f>ROUND(VLOOKUP(A101,'Contribution Allocation_Report'!$A$9:$D$310,4,FALSE)*$C$311,0)</f>
        <v>1782688</v>
      </c>
      <c r="D101" s="239">
        <f>ROUND(VLOOKUP(A101,'Contribution Allocation_Report'!$A$9:$D$310,4,FALSE)*$D$311,0)</f>
        <v>1418799</v>
      </c>
      <c r="E101" s="239">
        <f>ROUND(VLOOKUP(A101,'Contribution Allocation_Report'!$A$9:$D$310,4,FALSE)*$E$311,0)</f>
        <v>1135733</v>
      </c>
      <c r="F101" s="8"/>
    </row>
    <row r="102" spans="1:6">
      <c r="A102" s="220">
        <v>11034</v>
      </c>
      <c r="B102" s="221" t="s">
        <v>94</v>
      </c>
      <c r="C102" s="240">
        <f>ROUND(VLOOKUP(A102,'Contribution Allocation_Report'!$A$9:$D$310,4,FALSE)*$C$311,0)</f>
        <v>1296913</v>
      </c>
      <c r="D102" s="240">
        <f>ROUND(VLOOKUP(A102,'Contribution Allocation_Report'!$A$9:$D$310,4,FALSE)*$D$311,0)</f>
        <v>1032183</v>
      </c>
      <c r="E102" s="240">
        <f>ROUND(VLOOKUP(A102,'Contribution Allocation_Report'!$A$9:$D$310,4,FALSE)*$E$311,0)</f>
        <v>826251</v>
      </c>
      <c r="F102" s="8"/>
    </row>
    <row r="103" spans="1:6">
      <c r="A103" s="218">
        <v>17054</v>
      </c>
      <c r="B103" s="219" t="s">
        <v>95</v>
      </c>
      <c r="C103" s="239">
        <f>ROUND(VLOOKUP(A103,'Contribution Allocation_Report'!$A$9:$D$310,4,FALSE)*$C$311,0)</f>
        <v>20059783</v>
      </c>
      <c r="D103" s="239">
        <f>ROUND(VLOOKUP(A103,'Contribution Allocation_Report'!$A$9:$D$310,4,FALSE)*$D$311,0)</f>
        <v>15965106</v>
      </c>
      <c r="E103" s="239">
        <f>ROUND(VLOOKUP(A103,'Contribution Allocation_Report'!$A$9:$D$310,4,FALSE)*$E$311,0)</f>
        <v>12779897</v>
      </c>
      <c r="F103" s="8"/>
    </row>
    <row r="104" spans="1:6">
      <c r="A104" s="220">
        <v>22065</v>
      </c>
      <c r="B104" s="221" t="s">
        <v>96</v>
      </c>
      <c r="C104" s="240">
        <f>ROUND(VLOOKUP(A104,'Contribution Allocation_Report'!$A$9:$D$310,4,FALSE)*$C$311,0)</f>
        <v>4195434</v>
      </c>
      <c r="D104" s="240">
        <f>ROUND(VLOOKUP(A104,'Contribution Allocation_Report'!$A$9:$D$310,4,FALSE)*$D$311,0)</f>
        <v>3339047</v>
      </c>
      <c r="E104" s="240">
        <f>ROUND(VLOOKUP(A104,'Contribution Allocation_Report'!$A$9:$D$310,4,FALSE)*$E$311,0)</f>
        <v>2672871</v>
      </c>
      <c r="F104" s="8"/>
    </row>
    <row r="105" spans="1:6">
      <c r="A105" s="218">
        <v>22201</v>
      </c>
      <c r="B105" s="219" t="s">
        <v>97</v>
      </c>
      <c r="C105" s="239">
        <f>ROUND(VLOOKUP(A105,'Contribution Allocation_Report'!$A$9:$D$310,4,FALSE)*$C$311,0)</f>
        <v>2084074</v>
      </c>
      <c r="D105" s="239">
        <f>ROUND(VLOOKUP(A105,'Contribution Allocation_Report'!$A$9:$D$310,4,FALSE)*$D$311,0)</f>
        <v>1658665</v>
      </c>
      <c r="E105" s="239">
        <f>ROUND(VLOOKUP(A105,'Contribution Allocation_Report'!$A$9:$D$310,4,FALSE)*$E$311,0)</f>
        <v>1327744</v>
      </c>
      <c r="F105" s="8"/>
    </row>
    <row r="106" spans="1:6">
      <c r="A106" s="220">
        <v>6016</v>
      </c>
      <c r="B106" s="221" t="s">
        <v>98</v>
      </c>
      <c r="C106" s="240">
        <f>ROUND(VLOOKUP(A106,'Contribution Allocation_Report'!$A$9:$D$310,4,FALSE)*$C$311,0)</f>
        <v>4229749</v>
      </c>
      <c r="D106" s="240">
        <f>ROUND(VLOOKUP(A106,'Contribution Allocation_Report'!$A$9:$D$310,4,FALSE)*$D$311,0)</f>
        <v>3366357</v>
      </c>
      <c r="E106" s="240">
        <f>ROUND(VLOOKUP(A106,'Contribution Allocation_Report'!$A$9:$D$310,4,FALSE)*$E$311,0)</f>
        <v>2694733</v>
      </c>
      <c r="F106" s="8"/>
    </row>
    <row r="107" spans="1:6">
      <c r="A107" s="218">
        <v>2432</v>
      </c>
      <c r="B107" s="219" t="s">
        <v>99</v>
      </c>
      <c r="C107" s="239">
        <f>ROUND(VLOOKUP(A107,'Contribution Allocation_Report'!$A$9:$D$310,4,FALSE)*$C$311,0)</f>
        <v>3015520</v>
      </c>
      <c r="D107" s="239">
        <f>ROUND(VLOOKUP(A107,'Contribution Allocation_Report'!$A$9:$D$310,4,FALSE)*$D$311,0)</f>
        <v>2399981</v>
      </c>
      <c r="E107" s="239">
        <f>ROUND(VLOOKUP(A107,'Contribution Allocation_Report'!$A$9:$D$310,4,FALSE)*$E$311,0)</f>
        <v>1921159</v>
      </c>
      <c r="F107" s="8"/>
    </row>
    <row r="108" spans="1:6">
      <c r="A108" s="220">
        <v>16052</v>
      </c>
      <c r="B108" s="221" t="s">
        <v>100</v>
      </c>
      <c r="C108" s="240">
        <f>ROUND(VLOOKUP(A108,'Contribution Allocation_Report'!$A$9:$D$310,4,FALSE)*$C$311,0)</f>
        <v>55721389</v>
      </c>
      <c r="D108" s="240">
        <f>ROUND(VLOOKUP(A108,'Contribution Allocation_Report'!$A$9:$D$310,4,FALSE)*$D$311,0)</f>
        <v>44347334</v>
      </c>
      <c r="E108" s="240">
        <f>ROUND(VLOOKUP(A108,'Contribution Allocation_Report'!$A$9:$D$310,4,FALSE)*$E$311,0)</f>
        <v>35499568</v>
      </c>
      <c r="F108" s="8"/>
    </row>
    <row r="109" spans="1:6">
      <c r="A109" s="218">
        <v>11118</v>
      </c>
      <c r="B109" s="219" t="s">
        <v>101</v>
      </c>
      <c r="C109" s="239">
        <f>ROUND(VLOOKUP(A109,'Contribution Allocation_Report'!$A$9:$D$310,4,FALSE)*$C$311,0)</f>
        <v>1448640</v>
      </c>
      <c r="D109" s="239">
        <f>ROUND(VLOOKUP(A109,'Contribution Allocation_Report'!$A$9:$D$310,4,FALSE)*$D$311,0)</f>
        <v>1152939</v>
      </c>
      <c r="E109" s="239">
        <f>ROUND(VLOOKUP(A109,'Contribution Allocation_Report'!$A$9:$D$310,4,FALSE)*$E$311,0)</f>
        <v>922915</v>
      </c>
      <c r="F109" s="8"/>
    </row>
    <row r="110" spans="1:6">
      <c r="A110" s="220">
        <v>27083</v>
      </c>
      <c r="B110" s="221" t="s">
        <v>102</v>
      </c>
      <c r="C110" s="240">
        <f>ROUND(VLOOKUP(A110,'Contribution Allocation_Report'!$A$9:$D$310,4,FALSE)*$C$311,0)</f>
        <v>2270942</v>
      </c>
      <c r="D110" s="240">
        <f>ROUND(VLOOKUP(A110,'Contribution Allocation_Report'!$A$9:$D$310,4,FALSE)*$D$311,0)</f>
        <v>1807389</v>
      </c>
      <c r="E110" s="240">
        <f>ROUND(VLOOKUP(A110,'Contribution Allocation_Report'!$A$9:$D$310,4,FALSE)*$E$311,0)</f>
        <v>1446796</v>
      </c>
      <c r="F110" s="8"/>
    </row>
    <row r="111" spans="1:6">
      <c r="A111" s="218">
        <v>7021</v>
      </c>
      <c r="B111" s="219" t="s">
        <v>103</v>
      </c>
      <c r="C111" s="239">
        <f>ROUND(VLOOKUP(A111,'Contribution Allocation_Report'!$A$9:$D$310,4,FALSE)*$C$311,0)</f>
        <v>75695593</v>
      </c>
      <c r="D111" s="239">
        <f>ROUND(VLOOKUP(A111,'Contribution Allocation_Report'!$A$9:$D$310,4,FALSE)*$D$311,0)</f>
        <v>60244330</v>
      </c>
      <c r="E111" s="239">
        <f>ROUND(VLOOKUP(A111,'Contribution Allocation_Report'!$A$9:$D$310,4,FALSE)*$E$311,0)</f>
        <v>48224944</v>
      </c>
      <c r="F111" s="8"/>
    </row>
    <row r="112" spans="1:6">
      <c r="A112" s="220">
        <v>4140</v>
      </c>
      <c r="B112" s="221" t="s">
        <v>104</v>
      </c>
      <c r="C112" s="240">
        <f>ROUND(VLOOKUP(A112,'Contribution Allocation_Report'!$A$9:$D$310,4,FALSE)*$C$311,0)</f>
        <v>493216</v>
      </c>
      <c r="D112" s="240">
        <f>ROUND(VLOOKUP(A112,'Contribution Allocation_Report'!$A$9:$D$310,4,FALSE)*$D$311,0)</f>
        <v>392539</v>
      </c>
      <c r="E112" s="240">
        <f>ROUND(VLOOKUP(A112,'Contribution Allocation_Report'!$A$9:$D$310,4,FALSE)*$E$311,0)</f>
        <v>314223</v>
      </c>
      <c r="F112" s="8"/>
    </row>
    <row r="113" spans="1:6">
      <c r="A113" s="218">
        <v>13041</v>
      </c>
      <c r="B113" s="219" t="s">
        <v>105</v>
      </c>
      <c r="C113" s="239">
        <f>ROUND(VLOOKUP(A113,'Contribution Allocation_Report'!$A$9:$D$310,4,FALSE)*$C$311,0)</f>
        <v>67114549</v>
      </c>
      <c r="D113" s="239">
        <f>ROUND(VLOOKUP(A113,'Contribution Allocation_Report'!$A$9:$D$310,4,FALSE)*$D$311,0)</f>
        <v>53414880</v>
      </c>
      <c r="E113" s="239">
        <f>ROUND(VLOOKUP(A113,'Contribution Allocation_Report'!$A$9:$D$310,4,FALSE)*$E$311,0)</f>
        <v>42758042</v>
      </c>
      <c r="F113" s="8"/>
    </row>
    <row r="114" spans="1:6">
      <c r="A114" s="220">
        <v>2339</v>
      </c>
      <c r="B114" s="221" t="s">
        <v>106</v>
      </c>
      <c r="C114" s="240">
        <f>ROUND(VLOOKUP(A114,'Contribution Allocation_Report'!$A$9:$D$310,4,FALSE)*$C$311,0)</f>
        <v>988499</v>
      </c>
      <c r="D114" s="240">
        <f>ROUND(VLOOKUP(A114,'Contribution Allocation_Report'!$A$9:$D$310,4,FALSE)*$D$311,0)</f>
        <v>786723</v>
      </c>
      <c r="E114" s="240">
        <f>ROUND(VLOOKUP(A114,'Contribution Allocation_Report'!$A$9:$D$310,4,FALSE)*$E$311,0)</f>
        <v>629763</v>
      </c>
      <c r="F114" s="8"/>
    </row>
    <row r="115" spans="1:6">
      <c r="A115" s="218">
        <v>2362</v>
      </c>
      <c r="B115" s="219" t="s">
        <v>107</v>
      </c>
      <c r="C115" s="239">
        <f>ROUND(VLOOKUP(A115,'Contribution Allocation_Report'!$A$9:$D$310,4,FALSE)*$C$311,0)</f>
        <v>1264666</v>
      </c>
      <c r="D115" s="239">
        <f>ROUND(VLOOKUP(A115,'Contribution Allocation_Report'!$A$9:$D$310,4,FALSE)*$D$311,0)</f>
        <v>1006518</v>
      </c>
      <c r="E115" s="239">
        <f>ROUND(VLOOKUP(A115,'Contribution Allocation_Report'!$A$9:$D$310,4,FALSE)*$E$311,0)</f>
        <v>805707</v>
      </c>
      <c r="F115" s="8"/>
    </row>
    <row r="116" spans="1:6">
      <c r="A116" s="220">
        <v>5013</v>
      </c>
      <c r="B116" s="221" t="s">
        <v>108</v>
      </c>
      <c r="C116" s="240">
        <f>ROUND(VLOOKUP(A116,'Contribution Allocation_Report'!$A$9:$D$310,4,FALSE)*$C$311,0)</f>
        <v>1212161</v>
      </c>
      <c r="D116" s="240">
        <f>ROUND(VLOOKUP(A116,'Contribution Allocation_Report'!$A$9:$D$310,4,FALSE)*$D$311,0)</f>
        <v>964731</v>
      </c>
      <c r="E116" s="240">
        <f>ROUND(VLOOKUP(A116,'Contribution Allocation_Report'!$A$9:$D$310,4,FALSE)*$E$311,0)</f>
        <v>772257</v>
      </c>
      <c r="F116" s="8"/>
    </row>
    <row r="117" spans="1:6">
      <c r="A117" s="218">
        <v>3110</v>
      </c>
      <c r="B117" s="219" t="s">
        <v>109</v>
      </c>
      <c r="C117" s="239">
        <f>ROUND(VLOOKUP(A117,'Contribution Allocation_Report'!$A$9:$D$310,4,FALSE)*$C$311,0)</f>
        <v>6120340</v>
      </c>
      <c r="D117" s="239">
        <f>ROUND(VLOOKUP(A117,'Contribution Allocation_Report'!$A$9:$D$310,4,FALSE)*$D$311,0)</f>
        <v>4871034</v>
      </c>
      <c r="E117" s="239">
        <f>ROUND(VLOOKUP(A117,'Contribution Allocation_Report'!$A$9:$D$310,4,FALSE)*$E$311,0)</f>
        <v>3899211</v>
      </c>
      <c r="F117" s="8"/>
    </row>
    <row r="118" spans="1:6">
      <c r="A118" s="220">
        <v>14044</v>
      </c>
      <c r="B118" s="221" t="s">
        <v>110</v>
      </c>
      <c r="C118" s="240">
        <f>ROUND(VLOOKUP(A118,'Contribution Allocation_Report'!$A$9:$D$310,4,FALSE)*$C$311,0)</f>
        <v>19493804</v>
      </c>
      <c r="D118" s="240">
        <f>ROUND(VLOOKUP(A118,'Contribution Allocation_Report'!$A$9:$D$310,4,FALSE)*$D$311,0)</f>
        <v>15514657</v>
      </c>
      <c r="E118" s="240">
        <f>ROUND(VLOOKUP(A118,'Contribution Allocation_Report'!$A$9:$D$310,4,FALSE)*$E$311,0)</f>
        <v>12419318</v>
      </c>
      <c r="F118" s="8"/>
    </row>
    <row r="119" spans="1:6">
      <c r="A119" s="218">
        <v>4009</v>
      </c>
      <c r="B119" s="219" t="s">
        <v>111</v>
      </c>
      <c r="C119" s="239">
        <f>ROUND(VLOOKUP(A119,'Contribution Allocation_Report'!$A$9:$D$310,4,FALSE)*$C$311,0)</f>
        <v>2608297</v>
      </c>
      <c r="D119" s="239">
        <f>ROUND(VLOOKUP(A119,'Contribution Allocation_Report'!$A$9:$D$310,4,FALSE)*$D$311,0)</f>
        <v>2075882</v>
      </c>
      <c r="E119" s="239">
        <f>ROUND(VLOOKUP(A119,'Contribution Allocation_Report'!$A$9:$D$310,4,FALSE)*$E$311,0)</f>
        <v>1661721</v>
      </c>
      <c r="F119" s="8"/>
    </row>
    <row r="120" spans="1:6">
      <c r="A120" s="220">
        <v>7022</v>
      </c>
      <c r="B120" s="221" t="s">
        <v>112</v>
      </c>
      <c r="C120" s="240">
        <f>ROUND(VLOOKUP(A120,'Contribution Allocation_Report'!$A$9:$D$310,4,FALSE)*$C$311,0)</f>
        <v>6898406</v>
      </c>
      <c r="D120" s="240">
        <f>ROUND(VLOOKUP(A120,'Contribution Allocation_Report'!$A$9:$D$310,4,FALSE)*$D$311,0)</f>
        <v>5490278</v>
      </c>
      <c r="E120" s="240">
        <f>ROUND(VLOOKUP(A120,'Contribution Allocation_Report'!$A$9:$D$310,4,FALSE)*$E$311,0)</f>
        <v>4394909</v>
      </c>
      <c r="F120" s="8"/>
    </row>
    <row r="121" spans="1:6">
      <c r="A121" s="218">
        <v>2430</v>
      </c>
      <c r="B121" s="219" t="s">
        <v>113</v>
      </c>
      <c r="C121" s="239">
        <f>ROUND(VLOOKUP(A121,'Contribution Allocation_Report'!$A$9:$D$310,4,FALSE)*$C$311,0)</f>
        <v>1069943</v>
      </c>
      <c r="D121" s="239">
        <f>ROUND(VLOOKUP(A121,'Contribution Allocation_Report'!$A$9:$D$310,4,FALSE)*$D$311,0)</f>
        <v>851543</v>
      </c>
      <c r="E121" s="239">
        <f>ROUND(VLOOKUP(A121,'Contribution Allocation_Report'!$A$9:$D$310,4,FALSE)*$E$311,0)</f>
        <v>681651</v>
      </c>
      <c r="F121" s="8"/>
    </row>
    <row r="122" spans="1:6">
      <c r="A122" s="220">
        <v>9150</v>
      </c>
      <c r="B122" s="221" t="s">
        <v>114</v>
      </c>
      <c r="C122" s="240">
        <f>ROUND(VLOOKUP(A122,'Contribution Allocation_Report'!$A$9:$D$310,4,FALSE)*$C$311,0)</f>
        <v>573007</v>
      </c>
      <c r="D122" s="240">
        <f>ROUND(VLOOKUP(A122,'Contribution Allocation_Report'!$A$9:$D$310,4,FALSE)*$D$311,0)</f>
        <v>456042</v>
      </c>
      <c r="E122" s="240">
        <f>ROUND(VLOOKUP(A122,'Contribution Allocation_Report'!$A$9:$D$310,4,FALSE)*$E$311,0)</f>
        <v>365057</v>
      </c>
      <c r="F122" s="8"/>
    </row>
    <row r="123" spans="1:6">
      <c r="A123" s="218">
        <v>6017</v>
      </c>
      <c r="B123" s="219" t="s">
        <v>115</v>
      </c>
      <c r="C123" s="239">
        <f>ROUND(VLOOKUP(A123,'Contribution Allocation_Report'!$A$9:$D$310,4,FALSE)*$C$311,0)</f>
        <v>52657085</v>
      </c>
      <c r="D123" s="239">
        <f>ROUND(VLOOKUP(A123,'Contribution Allocation_Report'!$A$9:$D$310,4,FALSE)*$D$311,0)</f>
        <v>41908527</v>
      </c>
      <c r="E123" s="239">
        <f>ROUND(VLOOKUP(A123,'Contribution Allocation_Report'!$A$9:$D$310,4,FALSE)*$E$311,0)</f>
        <v>33547329</v>
      </c>
      <c r="F123" s="8"/>
    </row>
    <row r="124" spans="1:6">
      <c r="A124" s="220">
        <v>26080</v>
      </c>
      <c r="B124" s="221" t="s">
        <v>116</v>
      </c>
      <c r="C124" s="240">
        <f>ROUND(VLOOKUP(A124,'Contribution Allocation_Report'!$A$9:$D$310,4,FALSE)*$C$311,0)</f>
        <v>1439132</v>
      </c>
      <c r="D124" s="240">
        <f>ROUND(VLOOKUP(A124,'Contribution Allocation_Report'!$A$9:$D$310,4,FALSE)*$D$311,0)</f>
        <v>1145371</v>
      </c>
      <c r="E124" s="240">
        <f>ROUND(VLOOKUP(A124,'Contribution Allocation_Report'!$A$9:$D$310,4,FALSE)*$E$311,0)</f>
        <v>916857</v>
      </c>
      <c r="F124" s="8"/>
    </row>
    <row r="125" spans="1:6">
      <c r="A125" s="218">
        <v>2327</v>
      </c>
      <c r="B125" s="219" t="s">
        <v>117</v>
      </c>
      <c r="C125" s="239">
        <f>ROUND(VLOOKUP(A125,'Contribution Allocation_Report'!$A$9:$D$310,4,FALSE)*$C$311,0)</f>
        <v>1788062</v>
      </c>
      <c r="D125" s="239">
        <f>ROUND(VLOOKUP(A125,'Contribution Allocation_Report'!$A$9:$D$310,4,FALSE)*$D$311,0)</f>
        <v>1423076</v>
      </c>
      <c r="E125" s="239">
        <f>ROUND(VLOOKUP(A125,'Contribution Allocation_Report'!$A$9:$D$310,4,FALSE)*$E$311,0)</f>
        <v>1139157</v>
      </c>
      <c r="F125" s="8"/>
    </row>
    <row r="126" spans="1:6">
      <c r="A126" s="220">
        <v>10119</v>
      </c>
      <c r="B126" s="221" t="s">
        <v>118</v>
      </c>
      <c r="C126" s="240">
        <f>ROUND(VLOOKUP(A126,'Contribution Allocation_Report'!$A$9:$D$310,4,FALSE)*$C$311,0)</f>
        <v>992219</v>
      </c>
      <c r="D126" s="240">
        <f>ROUND(VLOOKUP(A126,'Contribution Allocation_Report'!$A$9:$D$310,4,FALSE)*$D$311,0)</f>
        <v>789684</v>
      </c>
      <c r="E126" s="240">
        <f>ROUND(VLOOKUP(A126,'Contribution Allocation_Report'!$A$9:$D$310,4,FALSE)*$E$311,0)</f>
        <v>632134</v>
      </c>
      <c r="F126" s="8"/>
    </row>
    <row r="127" spans="1:6">
      <c r="A127" s="218">
        <v>573</v>
      </c>
      <c r="B127" s="219" t="s">
        <v>412</v>
      </c>
      <c r="C127" s="239">
        <f>ROUND(VLOOKUP(A127,'Contribution Allocation_Report'!$A$9:$D$310,4,FALSE)*$C$311,0)</f>
        <v>1602848</v>
      </c>
      <c r="D127" s="239">
        <f>ROUND(VLOOKUP(A127,'Contribution Allocation_Report'!$A$9:$D$310,4,FALSE)*$D$311,0)</f>
        <v>1275669</v>
      </c>
      <c r="E127" s="239">
        <f>ROUND(VLOOKUP(A127,'Contribution Allocation_Report'!$A$9:$D$310,4,FALSE)*$E$311,0)</f>
        <v>1021159</v>
      </c>
      <c r="F127" s="8"/>
    </row>
    <row r="128" spans="1:6">
      <c r="A128" s="220">
        <v>2368</v>
      </c>
      <c r="B128" s="221" t="s">
        <v>119</v>
      </c>
      <c r="C128" s="240">
        <f>ROUND(VLOOKUP(A128,'Contribution Allocation_Report'!$A$9:$D$310,4,FALSE)*$C$311,0)</f>
        <v>2070845</v>
      </c>
      <c r="D128" s="240">
        <f>ROUND(VLOOKUP(A128,'Contribution Allocation_Report'!$A$9:$D$310,4,FALSE)*$D$311,0)</f>
        <v>1648136</v>
      </c>
      <c r="E128" s="240">
        <f>ROUND(VLOOKUP(A128,'Contribution Allocation_Report'!$A$9:$D$310,4,FALSE)*$E$311,0)</f>
        <v>1319315</v>
      </c>
      <c r="F128" s="8"/>
    </row>
    <row r="129" spans="1:6">
      <c r="A129" s="218">
        <v>7420</v>
      </c>
      <c r="B129" s="219" t="s">
        <v>120</v>
      </c>
      <c r="C129" s="239">
        <f>ROUND(VLOOKUP(A129,'Contribution Allocation_Report'!$A$9:$D$310,4,FALSE)*$C$311,0)</f>
        <v>981470</v>
      </c>
      <c r="D129" s="239">
        <f>ROUND(VLOOKUP(A129,'Contribution Allocation_Report'!$A$9:$D$310,4,FALSE)*$D$311,0)</f>
        <v>781129</v>
      </c>
      <c r="E129" s="239">
        <f>ROUND(VLOOKUP(A129,'Contribution Allocation_Report'!$A$9:$D$310,4,FALSE)*$E$311,0)</f>
        <v>625285</v>
      </c>
      <c r="F129" s="8"/>
    </row>
    <row r="130" spans="1:6">
      <c r="A130" s="220">
        <v>6018</v>
      </c>
      <c r="B130" s="221" t="s">
        <v>121</v>
      </c>
      <c r="C130" s="240">
        <f>ROUND(VLOOKUP(A130,'Contribution Allocation_Report'!$A$9:$D$310,4,FALSE)*$C$311,0)</f>
        <v>2991128</v>
      </c>
      <c r="D130" s="240">
        <f>ROUND(VLOOKUP(A130,'Contribution Allocation_Report'!$A$9:$D$310,4,FALSE)*$D$311,0)</f>
        <v>2380568</v>
      </c>
      <c r="E130" s="240">
        <f>ROUND(VLOOKUP(A130,'Contribution Allocation_Report'!$A$9:$D$310,4,FALSE)*$E$311,0)</f>
        <v>1905619</v>
      </c>
      <c r="F130" s="8"/>
    </row>
    <row r="131" spans="1:6">
      <c r="A131" s="218">
        <v>3321</v>
      </c>
      <c r="B131" s="219" t="s">
        <v>122</v>
      </c>
      <c r="C131" s="239">
        <f>ROUND(VLOOKUP(A131,'Contribution Allocation_Report'!$A$9:$D$310,4,FALSE)*$C$311,0)</f>
        <v>1252264</v>
      </c>
      <c r="D131" s="239">
        <f>ROUND(VLOOKUP(A131,'Contribution Allocation_Report'!$A$9:$D$310,4,FALSE)*$D$311,0)</f>
        <v>996647</v>
      </c>
      <c r="E131" s="239">
        <f>ROUND(VLOOKUP(A131,'Contribution Allocation_Report'!$A$9:$D$310,4,FALSE)*$E$311,0)</f>
        <v>797805</v>
      </c>
      <c r="F131" s="8"/>
    </row>
    <row r="132" spans="1:6">
      <c r="A132" s="220">
        <v>29122</v>
      </c>
      <c r="B132" s="221" t="s">
        <v>123</v>
      </c>
      <c r="C132" s="240">
        <f>ROUND(VLOOKUP(A132,'Contribution Allocation_Report'!$A$9:$D$310,4,FALSE)*$C$311,0)</f>
        <v>1671063</v>
      </c>
      <c r="D132" s="240">
        <f>ROUND(VLOOKUP(A132,'Contribution Allocation_Report'!$A$9:$D$310,4,FALSE)*$D$311,0)</f>
        <v>1329959</v>
      </c>
      <c r="E132" s="240">
        <f>ROUND(VLOOKUP(A132,'Contribution Allocation_Report'!$A$9:$D$310,4,FALSE)*$E$311,0)</f>
        <v>1064618</v>
      </c>
      <c r="F132" s="8"/>
    </row>
    <row r="133" spans="1:6">
      <c r="A133" s="218">
        <v>29088</v>
      </c>
      <c r="B133" s="219" t="s">
        <v>124</v>
      </c>
      <c r="C133" s="239">
        <f>ROUND(VLOOKUP(A133,'Contribution Allocation_Report'!$A$9:$D$310,4,FALSE)*$C$311,0)</f>
        <v>2229600</v>
      </c>
      <c r="D133" s="239">
        <f>ROUND(VLOOKUP(A133,'Contribution Allocation_Report'!$A$9:$D$310,4,FALSE)*$D$311,0)</f>
        <v>1774486</v>
      </c>
      <c r="E133" s="239">
        <f>ROUND(VLOOKUP(A133,'Contribution Allocation_Report'!$A$9:$D$310,4,FALSE)*$E$311,0)</f>
        <v>1420457</v>
      </c>
      <c r="F133" s="8"/>
    </row>
    <row r="134" spans="1:6">
      <c r="A134" s="220">
        <v>7337</v>
      </c>
      <c r="B134" s="221" t="s">
        <v>125</v>
      </c>
      <c r="C134" s="240">
        <f>ROUND(VLOOKUP(A134,'Contribution Allocation_Report'!$A$9:$D$310,4,FALSE)*$C$311,0)</f>
        <v>574660</v>
      </c>
      <c r="D134" s="240">
        <f>ROUND(VLOOKUP(A134,'Contribution Allocation_Report'!$A$9:$D$310,4,FALSE)*$D$311,0)</f>
        <v>457359</v>
      </c>
      <c r="E134" s="240">
        <f>ROUND(VLOOKUP(A134,'Contribution Allocation_Report'!$A$9:$D$310,4,FALSE)*$E$311,0)</f>
        <v>366111</v>
      </c>
      <c r="F134" s="8"/>
    </row>
    <row r="135" spans="1:6">
      <c r="A135" s="218">
        <v>2329</v>
      </c>
      <c r="B135" s="219" t="s">
        <v>126</v>
      </c>
      <c r="C135" s="239">
        <f>ROUND(VLOOKUP(A135,'Contribution Allocation_Report'!$A$9:$D$310,4,FALSE)*$C$311,0)</f>
        <v>1826924</v>
      </c>
      <c r="D135" s="239">
        <f>ROUND(VLOOKUP(A135,'Contribution Allocation_Report'!$A$9:$D$310,4,FALSE)*$D$311,0)</f>
        <v>1454006</v>
      </c>
      <c r="E135" s="239">
        <f>ROUND(VLOOKUP(A135,'Contribution Allocation_Report'!$A$9:$D$310,4,FALSE)*$E$311,0)</f>
        <v>1163916</v>
      </c>
      <c r="F135" s="8"/>
    </row>
    <row r="136" spans="1:6">
      <c r="A136" s="220">
        <v>2343</v>
      </c>
      <c r="B136" s="221" t="s">
        <v>127</v>
      </c>
      <c r="C136" s="240">
        <f>ROUND(VLOOKUP(A136,'Contribution Allocation_Report'!$A$9:$D$310,4,FALSE)*$C$311,0)</f>
        <v>1931107</v>
      </c>
      <c r="D136" s="240">
        <f>ROUND(VLOOKUP(A136,'Contribution Allocation_Report'!$A$9:$D$310,4,FALSE)*$D$311,0)</f>
        <v>1536922</v>
      </c>
      <c r="E136" s="240">
        <f>ROUND(VLOOKUP(A136,'Contribution Allocation_Report'!$A$9:$D$310,4,FALSE)*$E$311,0)</f>
        <v>1230290</v>
      </c>
      <c r="F136" s="8"/>
    </row>
    <row r="137" spans="1:6">
      <c r="A137" s="218">
        <v>17425</v>
      </c>
      <c r="B137" s="219" t="s">
        <v>128</v>
      </c>
      <c r="C137" s="239">
        <f>ROUND(VLOOKUP(A137,'Contribution Allocation_Report'!$A$9:$D$310,4,FALSE)*$C$311,0)</f>
        <v>236066</v>
      </c>
      <c r="D137" s="239">
        <f>ROUND(VLOOKUP(A137,'Contribution Allocation_Report'!$A$9:$D$310,4,FALSE)*$D$311,0)</f>
        <v>187879</v>
      </c>
      <c r="E137" s="239">
        <f>ROUND(VLOOKUP(A137,'Contribution Allocation_Report'!$A$9:$D$310,4,FALSE)*$E$311,0)</f>
        <v>150395</v>
      </c>
      <c r="F137" s="8"/>
    </row>
    <row r="138" spans="1:6">
      <c r="A138" s="220">
        <v>4010</v>
      </c>
      <c r="B138" s="221" t="s">
        <v>129</v>
      </c>
      <c r="C138" s="240">
        <f>ROUND(VLOOKUP(A138,'Contribution Allocation_Report'!$A$9:$D$310,4,FALSE)*$C$311,0)</f>
        <v>1036456</v>
      </c>
      <c r="D138" s="240">
        <f>ROUND(VLOOKUP(A138,'Contribution Allocation_Report'!$A$9:$D$310,4,FALSE)*$D$311,0)</f>
        <v>824891</v>
      </c>
      <c r="E138" s="240">
        <f>ROUND(VLOOKUP(A138,'Contribution Allocation_Report'!$A$9:$D$310,4,FALSE)*$E$311,0)</f>
        <v>660316</v>
      </c>
      <c r="F138" s="8"/>
    </row>
    <row r="139" spans="1:6">
      <c r="A139" s="218">
        <v>7023</v>
      </c>
      <c r="B139" s="219" t="s">
        <v>130</v>
      </c>
      <c r="C139" s="239">
        <f>ROUND(VLOOKUP(A139,'Contribution Allocation_Report'!$A$9:$D$310,4,FALSE)*$C$311,0)</f>
        <v>130874983</v>
      </c>
      <c r="D139" s="239">
        <f>ROUND(VLOOKUP(A139,'Contribution Allocation_Report'!$A$9:$D$310,4,FALSE)*$D$311,0)</f>
        <v>104160300</v>
      </c>
      <c r="E139" s="239">
        <f>ROUND(VLOOKUP(A139,'Contribution Allocation_Report'!$A$9:$D$310,4,FALSE)*$E$311,0)</f>
        <v>83379209</v>
      </c>
      <c r="F139" s="8"/>
    </row>
    <row r="140" spans="1:6">
      <c r="A140" s="220">
        <v>7338</v>
      </c>
      <c r="B140" s="221" t="s">
        <v>131</v>
      </c>
      <c r="C140" s="240">
        <f>ROUND(VLOOKUP(A140,'Contribution Allocation_Report'!$A$9:$D$310,4,FALSE)*$C$311,0)</f>
        <v>1198932</v>
      </c>
      <c r="D140" s="240">
        <f>ROUND(VLOOKUP(A140,'Contribution Allocation_Report'!$A$9:$D$310,4,FALSE)*$D$311,0)</f>
        <v>954201</v>
      </c>
      <c r="E140" s="240">
        <f>ROUND(VLOOKUP(A140,'Contribution Allocation_Report'!$A$9:$D$310,4,FALSE)*$E$311,0)</f>
        <v>763828</v>
      </c>
      <c r="F140" s="8"/>
    </row>
    <row r="141" spans="1:6">
      <c r="A141" s="218">
        <v>12037</v>
      </c>
      <c r="B141" s="219" t="s">
        <v>132</v>
      </c>
      <c r="C141" s="239">
        <f>ROUND(VLOOKUP(A141,'Contribution Allocation_Report'!$A$9:$D$310,4,FALSE)*$C$311,0)</f>
        <v>8349940</v>
      </c>
      <c r="D141" s="239">
        <f>ROUND(VLOOKUP(A141,'Contribution Allocation_Report'!$A$9:$D$310,4,FALSE)*$D$311,0)</f>
        <v>6645519</v>
      </c>
      <c r="E141" s="239">
        <f>ROUND(VLOOKUP(A141,'Contribution Allocation_Report'!$A$9:$D$310,4,FALSE)*$E$311,0)</f>
        <v>5319667</v>
      </c>
      <c r="F141" s="8"/>
    </row>
    <row r="142" spans="1:6">
      <c r="A142" s="220">
        <v>3150</v>
      </c>
      <c r="B142" s="221" t="s">
        <v>133</v>
      </c>
      <c r="C142" s="240">
        <f>ROUND(VLOOKUP(A142,'Contribution Allocation_Report'!$A$9:$D$310,4,FALSE)*$C$311,0)</f>
        <v>15429012</v>
      </c>
      <c r="D142" s="240">
        <f>ROUND(VLOOKUP(A142,'Contribution Allocation_Report'!$A$9:$D$310,4,FALSE)*$D$311,0)</f>
        <v>12279585</v>
      </c>
      <c r="E142" s="240">
        <f>ROUND(VLOOKUP(A142,'Contribution Allocation_Report'!$A$9:$D$310,4,FALSE)*$E$311,0)</f>
        <v>9829677</v>
      </c>
      <c r="F142" s="8"/>
    </row>
    <row r="143" spans="1:6">
      <c r="A143" s="218">
        <v>3160</v>
      </c>
      <c r="B143" s="219" t="s">
        <v>134</v>
      </c>
      <c r="C143" s="239">
        <f>ROUND(VLOOKUP(A143,'Contribution Allocation_Report'!$A$9:$D$310,4,FALSE)*$C$311,0)</f>
        <v>3912652</v>
      </c>
      <c r="D143" s="239">
        <f>ROUND(VLOOKUP(A143,'Contribution Allocation_Report'!$A$9:$D$310,4,FALSE)*$D$311,0)</f>
        <v>3113987</v>
      </c>
      <c r="E143" s="239">
        <f>ROUND(VLOOKUP(A143,'Contribution Allocation_Report'!$A$9:$D$310,4,FALSE)*$E$311,0)</f>
        <v>2492713</v>
      </c>
      <c r="F143" s="8"/>
    </row>
    <row r="144" spans="1:6">
      <c r="A144" s="220">
        <v>10120</v>
      </c>
      <c r="B144" s="221" t="s">
        <v>136</v>
      </c>
      <c r="C144" s="240">
        <f>ROUND(VLOOKUP(A144,'Contribution Allocation_Report'!$A$9:$D$310,4,FALSE)*$C$311,0)</f>
        <v>1934414</v>
      </c>
      <c r="D144" s="240">
        <f>ROUND(VLOOKUP(A144,'Contribution Allocation_Report'!$A$9:$D$310,4,FALSE)*$D$311,0)</f>
        <v>1539555</v>
      </c>
      <c r="E144" s="240">
        <f>ROUND(VLOOKUP(A144,'Contribution Allocation_Report'!$A$9:$D$310,4,FALSE)*$E$311,0)</f>
        <v>1232397</v>
      </c>
      <c r="F144" s="8"/>
    </row>
    <row r="145" spans="1:6">
      <c r="A145" s="218">
        <v>23070</v>
      </c>
      <c r="B145" s="219" t="s">
        <v>137</v>
      </c>
      <c r="C145" s="239">
        <f>ROUND(VLOOKUP(A145,'Contribution Allocation_Report'!$A$9:$D$310,4,FALSE)*$C$311,0)</f>
        <v>3244144</v>
      </c>
      <c r="D145" s="239">
        <f>ROUND(VLOOKUP(A145,'Contribution Allocation_Report'!$A$9:$D$310,4,FALSE)*$D$311,0)</f>
        <v>2581937</v>
      </c>
      <c r="E145" s="239">
        <f>ROUND(VLOOKUP(A145,'Contribution Allocation_Report'!$A$9:$D$310,4,FALSE)*$E$311,0)</f>
        <v>2066813</v>
      </c>
      <c r="F145" s="8"/>
    </row>
    <row r="146" spans="1:6">
      <c r="A146" s="220">
        <v>3170</v>
      </c>
      <c r="B146" s="221" t="s">
        <v>138</v>
      </c>
      <c r="C146" s="240">
        <f>ROUND(VLOOKUP(A146,'Contribution Allocation_Report'!$A$9:$D$310,4,FALSE)*$C$311,0)</f>
        <v>39050449</v>
      </c>
      <c r="D146" s="240">
        <f>ROUND(VLOOKUP(A146,'Contribution Allocation_Report'!$A$9:$D$310,4,FALSE)*$D$311,0)</f>
        <v>31079328</v>
      </c>
      <c r="E146" s="240">
        <f>ROUND(VLOOKUP(A146,'Contribution Allocation_Report'!$A$9:$D$310,4,FALSE)*$E$311,0)</f>
        <v>24878670</v>
      </c>
      <c r="F146" s="8"/>
    </row>
    <row r="147" spans="1:6">
      <c r="A147" s="218">
        <v>32093</v>
      </c>
      <c r="B147" s="219" t="s">
        <v>139</v>
      </c>
      <c r="C147" s="239">
        <f>ROUND(VLOOKUP(A147,'Contribution Allocation_Report'!$A$9:$D$310,4,FALSE)*$C$311,0)</f>
        <v>25090335</v>
      </c>
      <c r="D147" s="239">
        <f>ROUND(VLOOKUP(A147,'Contribution Allocation_Report'!$A$9:$D$310,4,FALSE)*$D$311,0)</f>
        <v>19968804</v>
      </c>
      <c r="E147" s="239">
        <f>ROUND(VLOOKUP(A147,'Contribution Allocation_Report'!$A$9:$D$310,4,FALSE)*$E$311,0)</f>
        <v>15984814</v>
      </c>
      <c r="F147" s="8"/>
    </row>
    <row r="148" spans="1:6">
      <c r="A148" s="220">
        <v>14045</v>
      </c>
      <c r="B148" s="249" t="s">
        <v>140</v>
      </c>
      <c r="C148" s="272">
        <f>ROUND(VLOOKUP(A148,'Contribution Allocation_Report'!$A$9:$D$310,4,FALSE)*$C$311,0)</f>
        <v>43326502</v>
      </c>
      <c r="D148" s="272">
        <f>ROUND(VLOOKUP(A148,'Contribution Allocation_Report'!$A$9:$D$310,4,FALSE)*$D$311,0)</f>
        <v>34482537</v>
      </c>
      <c r="E148" s="272">
        <f>ROUND(VLOOKUP(A148,'Contribution Allocation_Report'!$A$9:$D$310,4,FALSE)*$E$311,0)</f>
        <v>27602903</v>
      </c>
      <c r="F148" s="8"/>
    </row>
    <row r="149" spans="1:6">
      <c r="A149" s="218">
        <v>2322</v>
      </c>
      <c r="B149" s="219" t="s">
        <v>141</v>
      </c>
      <c r="C149" s="239">
        <f>ROUND(VLOOKUP(A149,'Contribution Allocation_Report'!$A$9:$D$310,4,FALSE)*$C$311,0)</f>
        <v>993460</v>
      </c>
      <c r="D149" s="239">
        <f>ROUND(VLOOKUP(A149,'Contribution Allocation_Report'!$A$9:$D$310,4,FALSE)*$D$311,0)</f>
        <v>790671</v>
      </c>
      <c r="E149" s="239">
        <f>ROUND(VLOOKUP(A149,'Contribution Allocation_Report'!$A$9:$D$310,4,FALSE)*$E$311,0)</f>
        <v>632924</v>
      </c>
      <c r="F149" s="8"/>
    </row>
    <row r="150" spans="1:6">
      <c r="A150" s="220">
        <v>3006</v>
      </c>
      <c r="B150" s="221" t="s">
        <v>142</v>
      </c>
      <c r="C150" s="240">
        <f>ROUND(VLOOKUP(A150,'Contribution Allocation_Report'!$A$9:$D$310,4,FALSE)*$C$311,0)</f>
        <v>3731158</v>
      </c>
      <c r="D150" s="240">
        <f>ROUND(VLOOKUP(A150,'Contribution Allocation_Report'!$A$9:$D$310,4,FALSE)*$D$311,0)</f>
        <v>2969541</v>
      </c>
      <c r="E150" s="240">
        <f>ROUND(VLOOKUP(A150,'Contribution Allocation_Report'!$A$9:$D$310,4,FALSE)*$E$311,0)</f>
        <v>2377086</v>
      </c>
      <c r="F150" s="8"/>
    </row>
    <row r="151" spans="1:6">
      <c r="A151" s="218">
        <v>6019</v>
      </c>
      <c r="B151" s="219" t="s">
        <v>143</v>
      </c>
      <c r="C151" s="239">
        <f>ROUND(VLOOKUP(A151,'Contribution Allocation_Report'!$A$9:$D$310,4,FALSE)*$C$311,0)</f>
        <v>19216396</v>
      </c>
      <c r="D151" s="239">
        <f>ROUND(VLOOKUP(A151,'Contribution Allocation_Report'!$A$9:$D$310,4,FALSE)*$D$311,0)</f>
        <v>15293875</v>
      </c>
      <c r="E151" s="239">
        <f>ROUND(VLOOKUP(A151,'Contribution Allocation_Report'!$A$9:$D$310,4,FALSE)*$E$311,0)</f>
        <v>12242584</v>
      </c>
      <c r="F151" s="8"/>
    </row>
    <row r="152" spans="1:6">
      <c r="A152" s="220">
        <v>12128</v>
      </c>
      <c r="B152" s="221" t="s">
        <v>144</v>
      </c>
      <c r="C152" s="240">
        <f>ROUND(VLOOKUP(A152,'Contribution Allocation_Report'!$A$9:$D$310,4,FALSE)*$C$311,0)</f>
        <v>4862289</v>
      </c>
      <c r="D152" s="240">
        <f>ROUND(VLOOKUP(A152,'Contribution Allocation_Report'!$A$9:$D$310,4,FALSE)*$D$311,0)</f>
        <v>3869780</v>
      </c>
      <c r="E152" s="240">
        <f>ROUND(VLOOKUP(A152,'Contribution Allocation_Report'!$A$9:$D$310,4,FALSE)*$E$311,0)</f>
        <v>3097718</v>
      </c>
      <c r="F152" s="8"/>
    </row>
    <row r="153" spans="1:6">
      <c r="A153" s="218">
        <v>3180</v>
      </c>
      <c r="B153" s="219" t="s">
        <v>145</v>
      </c>
      <c r="C153" s="239">
        <f>ROUND(VLOOKUP(A153,'Contribution Allocation_Report'!$A$9:$D$310,4,FALSE)*$C$311,0)</f>
        <v>7349452</v>
      </c>
      <c r="D153" s="239">
        <f>ROUND(VLOOKUP(A153,'Contribution Allocation_Report'!$A$9:$D$310,4,FALSE)*$D$311,0)</f>
        <v>5849255</v>
      </c>
      <c r="E153" s="239">
        <f>ROUND(VLOOKUP(A153,'Contribution Allocation_Report'!$A$9:$D$310,4,FALSE)*$E$311,0)</f>
        <v>4682266</v>
      </c>
      <c r="F153" s="8"/>
    </row>
    <row r="154" spans="1:6">
      <c r="A154" s="220">
        <v>25075</v>
      </c>
      <c r="B154" s="221" t="s">
        <v>146</v>
      </c>
      <c r="C154" s="240">
        <f>ROUND(VLOOKUP(A154,'Contribution Allocation_Report'!$A$9:$D$310,4,FALSE)*$C$311,0)</f>
        <v>2994849</v>
      </c>
      <c r="D154" s="240">
        <f>ROUND(VLOOKUP(A154,'Contribution Allocation_Report'!$A$9:$D$310,4,FALSE)*$D$311,0)</f>
        <v>2383529</v>
      </c>
      <c r="E154" s="240">
        <f>ROUND(VLOOKUP(A154,'Contribution Allocation_Report'!$A$9:$D$310,4,FALSE)*$E$311,0)</f>
        <v>1907990</v>
      </c>
      <c r="F154" s="8"/>
    </row>
    <row r="155" spans="1:6">
      <c r="A155" s="218">
        <v>9028</v>
      </c>
      <c r="B155" s="219" t="s">
        <v>147</v>
      </c>
      <c r="C155" s="239">
        <f>ROUND(VLOOKUP(A155,'Contribution Allocation_Report'!$A$9:$D$310,4,FALSE)*$C$311,0)</f>
        <v>1184462</v>
      </c>
      <c r="D155" s="239">
        <f>ROUND(VLOOKUP(A155,'Contribution Allocation_Report'!$A$9:$D$310,4,FALSE)*$D$311,0)</f>
        <v>942685</v>
      </c>
      <c r="E155" s="239">
        <f>ROUND(VLOOKUP(A155,'Contribution Allocation_Report'!$A$9:$D$310,4,FALSE)*$E$311,0)</f>
        <v>754609</v>
      </c>
      <c r="F155" s="8"/>
    </row>
    <row r="156" spans="1:6">
      <c r="A156" s="220">
        <v>17424</v>
      </c>
      <c r="B156" s="221" t="s">
        <v>148</v>
      </c>
      <c r="C156" s="240">
        <f>ROUND(VLOOKUP(A156,'Contribution Allocation_Report'!$A$9:$D$310,4,FALSE)*$C$311,0)</f>
        <v>2134512</v>
      </c>
      <c r="D156" s="240">
        <f>ROUND(VLOOKUP(A156,'Contribution Allocation_Report'!$A$9:$D$310,4,FALSE)*$D$311,0)</f>
        <v>1698808</v>
      </c>
      <c r="E156" s="240">
        <f>ROUND(VLOOKUP(A156,'Contribution Allocation_Report'!$A$9:$D$310,4,FALSE)*$E$311,0)</f>
        <v>1359877</v>
      </c>
      <c r="F156" s="8"/>
    </row>
    <row r="157" spans="1:6">
      <c r="A157" s="218">
        <v>3200</v>
      </c>
      <c r="B157" s="219" t="s">
        <v>149</v>
      </c>
      <c r="C157" s="239">
        <f>ROUND(VLOOKUP(A157,'Contribution Allocation_Report'!$A$9:$D$310,4,FALSE)*$C$311,0)</f>
        <v>8544250</v>
      </c>
      <c r="D157" s="239">
        <f>ROUND(VLOOKUP(A157,'Contribution Allocation_Report'!$A$9:$D$310,4,FALSE)*$D$311,0)</f>
        <v>6800166</v>
      </c>
      <c r="E157" s="239">
        <f>ROUND(VLOOKUP(A157,'Contribution Allocation_Report'!$A$9:$D$310,4,FALSE)*$E$311,0)</f>
        <v>5443460</v>
      </c>
      <c r="F157" s="8"/>
    </row>
    <row r="158" spans="1:6">
      <c r="A158" s="220">
        <v>2365</v>
      </c>
      <c r="B158" s="221" t="s">
        <v>150</v>
      </c>
      <c r="C158" s="240">
        <f>ROUND(VLOOKUP(A158,'Contribution Allocation_Report'!$A$9:$D$310,4,FALSE)*$C$311,0)</f>
        <v>1369676</v>
      </c>
      <c r="D158" s="240">
        <f>ROUND(VLOOKUP(A158,'Contribution Allocation_Report'!$A$9:$D$310,4,FALSE)*$D$311,0)</f>
        <v>1090093</v>
      </c>
      <c r="E158" s="240">
        <f>ROUND(VLOOKUP(A158,'Contribution Allocation_Report'!$A$9:$D$310,4,FALSE)*$E$311,0)</f>
        <v>872608</v>
      </c>
      <c r="F158" s="8"/>
    </row>
    <row r="159" spans="1:6">
      <c r="A159" s="218">
        <v>5014</v>
      </c>
      <c r="B159" s="219" t="s">
        <v>151</v>
      </c>
      <c r="C159" s="239">
        <f>ROUND(VLOOKUP(A159,'Contribution Allocation_Report'!$A$9:$D$310,4,FALSE)*$C$311,0)</f>
        <v>1631374</v>
      </c>
      <c r="D159" s="239">
        <f>ROUND(VLOOKUP(A159,'Contribution Allocation_Report'!$A$9:$D$310,4,FALSE)*$D$311,0)</f>
        <v>1298372</v>
      </c>
      <c r="E159" s="239">
        <f>ROUND(VLOOKUP(A159,'Contribution Allocation_Report'!$A$9:$D$310,4,FALSE)*$E$311,0)</f>
        <v>1039333</v>
      </c>
      <c r="F159" s="8"/>
    </row>
    <row r="160" spans="1:6">
      <c r="A160" s="220">
        <v>17127</v>
      </c>
      <c r="B160" s="221" t="s">
        <v>152</v>
      </c>
      <c r="C160" s="240">
        <f>ROUND(VLOOKUP(A160,'Contribution Allocation_Report'!$A$9:$D$310,4,FALSE)*$C$311,0)</f>
        <v>1734317</v>
      </c>
      <c r="D160" s="240">
        <f>ROUND(VLOOKUP(A160,'Contribution Allocation_Report'!$A$9:$D$310,4,FALSE)*$D$311,0)</f>
        <v>1380302</v>
      </c>
      <c r="E160" s="240">
        <f>ROUND(VLOOKUP(A160,'Contribution Allocation_Report'!$A$9:$D$310,4,FALSE)*$E$311,0)</f>
        <v>1104917</v>
      </c>
      <c r="F160" s="8"/>
    </row>
    <row r="161" spans="1:6">
      <c r="A161" s="218">
        <v>10141</v>
      </c>
      <c r="B161" s="219" t="s">
        <v>153</v>
      </c>
      <c r="C161" s="239">
        <f>ROUND(VLOOKUP(A161,'Contribution Allocation_Report'!$A$9:$D$310,4,FALSE)*$C$311,0)</f>
        <v>2560753</v>
      </c>
      <c r="D161" s="239">
        <f>ROUND(VLOOKUP(A161,'Contribution Allocation_Report'!$A$9:$D$310,4,FALSE)*$D$311,0)</f>
        <v>2038043</v>
      </c>
      <c r="E161" s="239">
        <f>ROUND(VLOOKUP(A161,'Contribution Allocation_Report'!$A$9:$D$310,4,FALSE)*$E$311,0)</f>
        <v>1631431</v>
      </c>
      <c r="F161" s="8"/>
    </row>
    <row r="162" spans="1:6">
      <c r="A162" s="220">
        <v>4570</v>
      </c>
      <c r="B162" s="221" t="s">
        <v>413</v>
      </c>
      <c r="C162" s="240">
        <f>ROUND(VLOOKUP(A162,'Contribution Allocation_Report'!$A$9:$D$310,4,FALSE)*$C$311,0)</f>
        <v>6073210</v>
      </c>
      <c r="D162" s="240">
        <f>ROUND(VLOOKUP(A162,'Contribution Allocation_Report'!$A$9:$D$310,4,FALSE)*$D$311,0)</f>
        <v>4833524</v>
      </c>
      <c r="E162" s="240">
        <f>ROUND(VLOOKUP(A162,'Contribution Allocation_Report'!$A$9:$D$310,4,FALSE)*$E$311,0)</f>
        <v>3869184</v>
      </c>
      <c r="F162" s="8"/>
    </row>
    <row r="163" spans="1:6">
      <c r="A163" s="218">
        <v>13369</v>
      </c>
      <c r="B163" s="219" t="s">
        <v>154</v>
      </c>
      <c r="C163" s="239">
        <f>ROUND(VLOOKUP(A163,'Contribution Allocation_Report'!$A$9:$D$310,4,FALSE)*$C$311,0)</f>
        <v>550268</v>
      </c>
      <c r="D163" s="239">
        <f>ROUND(VLOOKUP(A163,'Contribution Allocation_Report'!$A$9:$D$310,4,FALSE)*$D$311,0)</f>
        <v>437946</v>
      </c>
      <c r="E163" s="239">
        <f>ROUND(VLOOKUP(A163,'Contribution Allocation_Report'!$A$9:$D$310,4,FALSE)*$E$311,0)</f>
        <v>350571</v>
      </c>
      <c r="F163" s="8"/>
    </row>
    <row r="164" spans="1:6">
      <c r="A164" s="220">
        <v>2425</v>
      </c>
      <c r="B164" s="221" t="s">
        <v>155</v>
      </c>
      <c r="C164" s="240">
        <f>ROUND(VLOOKUP(A164,'Contribution Allocation_Report'!$A$9:$D$310,4,FALSE)*$C$311,0)</f>
        <v>7203513</v>
      </c>
      <c r="D164" s="240">
        <f>ROUND(VLOOKUP(A164,'Contribution Allocation_Report'!$A$9:$D$310,4,FALSE)*$D$311,0)</f>
        <v>5733105</v>
      </c>
      <c r="E164" s="240">
        <f>ROUND(VLOOKUP(A164,'Contribution Allocation_Report'!$A$9:$D$310,4,FALSE)*$E$311,0)</f>
        <v>4589290</v>
      </c>
      <c r="F164" s="8"/>
    </row>
    <row r="165" spans="1:6">
      <c r="A165" s="218">
        <v>1306</v>
      </c>
      <c r="B165" s="219" t="s">
        <v>156</v>
      </c>
      <c r="C165" s="239">
        <f>ROUND(VLOOKUP(A165,'Contribution Allocation_Report'!$A$9:$D$310,4,FALSE)*$C$311,0)</f>
        <v>1955913</v>
      </c>
      <c r="D165" s="239">
        <f>ROUND(VLOOKUP(A165,'Contribution Allocation_Report'!$A$9:$D$310,4,FALSE)*$D$311,0)</f>
        <v>1556664</v>
      </c>
      <c r="E165" s="239">
        <f>ROUND(VLOOKUP(A165,'Contribution Allocation_Report'!$A$9:$D$310,4,FALSE)*$E$311,0)</f>
        <v>1246093</v>
      </c>
      <c r="F165" s="8"/>
    </row>
    <row r="166" spans="1:6">
      <c r="A166" s="220">
        <v>2351</v>
      </c>
      <c r="B166" s="221" t="s">
        <v>157</v>
      </c>
      <c r="C166" s="240">
        <f>ROUND(VLOOKUP(A166,'Contribution Allocation_Report'!$A$9:$D$310,4,FALSE)*$C$311,0)</f>
        <v>1550756</v>
      </c>
      <c r="D166" s="240">
        <f>ROUND(VLOOKUP(A166,'Contribution Allocation_Report'!$A$9:$D$310,4,FALSE)*$D$311,0)</f>
        <v>1234210</v>
      </c>
      <c r="E166" s="240">
        <f>ROUND(VLOOKUP(A166,'Contribution Allocation_Report'!$A$9:$D$310,4,FALSE)*$E$311,0)</f>
        <v>987972</v>
      </c>
      <c r="F166" s="8"/>
    </row>
    <row r="167" spans="1:6">
      <c r="A167" s="218">
        <v>2334</v>
      </c>
      <c r="B167" s="219" t="s">
        <v>158</v>
      </c>
      <c r="C167" s="239">
        <f>ROUND(VLOOKUP(A167,'Contribution Allocation_Report'!$A$9:$D$310,4,FALSE)*$C$311,0)</f>
        <v>1113766</v>
      </c>
      <c r="D167" s="239">
        <f>ROUND(VLOOKUP(A167,'Contribution Allocation_Report'!$A$9:$D$310,4,FALSE)*$D$311,0)</f>
        <v>886420</v>
      </c>
      <c r="E167" s="239">
        <f>ROUND(VLOOKUP(A167,'Contribution Allocation_Report'!$A$9:$D$310,4,FALSE)*$E$311,0)</f>
        <v>709570</v>
      </c>
      <c r="F167" s="8"/>
    </row>
    <row r="168" spans="1:6">
      <c r="A168" s="220">
        <v>30089</v>
      </c>
      <c r="B168" s="221" t="s">
        <v>159</v>
      </c>
      <c r="C168" s="240">
        <f>ROUND(VLOOKUP(A168,'Contribution Allocation_Report'!$A$9:$D$310,4,FALSE)*$C$311,0)</f>
        <v>3395871</v>
      </c>
      <c r="D168" s="240">
        <f>ROUND(VLOOKUP(A168,'Contribution Allocation_Report'!$A$9:$D$310,4,FALSE)*$D$311,0)</f>
        <v>2702693</v>
      </c>
      <c r="E168" s="240">
        <f>ROUND(VLOOKUP(A168,'Contribution Allocation_Report'!$A$9:$D$310,4,FALSE)*$E$311,0)</f>
        <v>2163477</v>
      </c>
      <c r="F168" s="8"/>
    </row>
    <row r="169" spans="1:6">
      <c r="A169" s="218">
        <v>9324</v>
      </c>
      <c r="B169" s="219" t="s">
        <v>160</v>
      </c>
      <c r="C169" s="239">
        <f>ROUND(VLOOKUP(A169,'Contribution Allocation_Report'!$A$9:$D$310,4,FALSE)*$C$311,0)</f>
        <v>490735</v>
      </c>
      <c r="D169" s="239">
        <f>ROUND(VLOOKUP(A169,'Contribution Allocation_Report'!$A$9:$D$310,4,FALSE)*$D$311,0)</f>
        <v>390565</v>
      </c>
      <c r="E169" s="239">
        <f>ROUND(VLOOKUP(A169,'Contribution Allocation_Report'!$A$9:$D$310,4,FALSE)*$E$311,0)</f>
        <v>312643</v>
      </c>
      <c r="F169" s="8"/>
    </row>
    <row r="170" spans="1:6">
      <c r="A170" s="220">
        <v>22066</v>
      </c>
      <c r="B170" s="221" t="s">
        <v>161</v>
      </c>
      <c r="C170" s="240">
        <f>ROUND(VLOOKUP(A170,'Contribution Allocation_Report'!$A$9:$D$310,4,FALSE)*$C$311,0)</f>
        <v>13088615</v>
      </c>
      <c r="D170" s="240">
        <f>ROUND(VLOOKUP(A170,'Contribution Allocation_Report'!$A$9:$D$310,4,FALSE)*$D$311,0)</f>
        <v>10416918</v>
      </c>
      <c r="E170" s="240">
        <f>ROUND(VLOOKUP(A170,'Contribution Allocation_Report'!$A$9:$D$310,4,FALSE)*$E$311,0)</f>
        <v>8338632</v>
      </c>
      <c r="F170" s="8"/>
    </row>
    <row r="171" spans="1:6">
      <c r="A171" s="218">
        <v>16356</v>
      </c>
      <c r="B171" s="219" t="s">
        <v>162</v>
      </c>
      <c r="C171" s="239">
        <f>ROUND(VLOOKUP(A171,'Contribution Allocation_Report'!$A$9:$D$310,4,FALSE)*$C$311,0)</f>
        <v>815274</v>
      </c>
      <c r="D171" s="239">
        <f>ROUND(VLOOKUP(A171,'Contribution Allocation_Report'!$A$9:$D$310,4,FALSE)*$D$311,0)</f>
        <v>648857</v>
      </c>
      <c r="E171" s="239">
        <f>ROUND(VLOOKUP(A171,'Contribution Allocation_Report'!$A$9:$D$310,4,FALSE)*$E$311,0)</f>
        <v>519403</v>
      </c>
      <c r="F171" s="8"/>
    </row>
    <row r="172" spans="1:6">
      <c r="A172" s="220">
        <v>31091</v>
      </c>
      <c r="B172" s="221" t="s">
        <v>163</v>
      </c>
      <c r="C172" s="240">
        <f>ROUND(VLOOKUP(A172,'Contribution Allocation_Report'!$A$9:$D$310,4,FALSE)*$C$311,0)</f>
        <v>775171</v>
      </c>
      <c r="D172" s="240">
        <f>ROUND(VLOOKUP(A172,'Contribution Allocation_Report'!$A$9:$D$310,4,FALSE)*$D$311,0)</f>
        <v>616941</v>
      </c>
      <c r="E172" s="240">
        <f>ROUND(VLOOKUP(A172,'Contribution Allocation_Report'!$A$9:$D$310,4,FALSE)*$E$311,0)</f>
        <v>493854</v>
      </c>
      <c r="F172" s="8"/>
    </row>
    <row r="173" spans="1:6">
      <c r="A173" s="218">
        <v>2342</v>
      </c>
      <c r="B173" s="219" t="s">
        <v>164</v>
      </c>
      <c r="C173" s="239">
        <f>ROUND(VLOOKUP(A173,'Contribution Allocation_Report'!$A$9:$D$310,4,FALSE)*$C$311,0)</f>
        <v>1232833</v>
      </c>
      <c r="D173" s="239">
        <f>ROUND(VLOOKUP(A173,'Contribution Allocation_Report'!$A$9:$D$310,4,FALSE)*$D$311,0)</f>
        <v>981182</v>
      </c>
      <c r="E173" s="239">
        <f>ROUND(VLOOKUP(A173,'Contribution Allocation_Report'!$A$9:$D$310,4,FALSE)*$E$311,0)</f>
        <v>785426</v>
      </c>
      <c r="F173" s="8"/>
    </row>
    <row r="174" spans="1:6">
      <c r="A174" s="220">
        <v>22067</v>
      </c>
      <c r="B174" s="221" t="s">
        <v>165</v>
      </c>
      <c r="C174" s="240">
        <f>ROUND(VLOOKUP(A174,'Contribution Allocation_Report'!$A$9:$D$310,4,FALSE)*$C$311,0)</f>
        <v>1823617</v>
      </c>
      <c r="D174" s="240">
        <f>ROUND(VLOOKUP(A174,'Contribution Allocation_Report'!$A$9:$D$310,4,FALSE)*$D$311,0)</f>
        <v>1451373</v>
      </c>
      <c r="E174" s="240">
        <f>ROUND(VLOOKUP(A174,'Contribution Allocation_Report'!$A$9:$D$310,4,FALSE)*$E$311,0)</f>
        <v>1161809</v>
      </c>
      <c r="F174" s="8"/>
    </row>
    <row r="175" spans="1:6">
      <c r="A175" s="218">
        <v>32112</v>
      </c>
      <c r="B175" s="219" t="s">
        <v>166</v>
      </c>
      <c r="C175" s="239">
        <f>ROUND(VLOOKUP(A175,'Contribution Allocation_Report'!$A$9:$D$310,4,FALSE)*$C$311,0)</f>
        <v>1077385</v>
      </c>
      <c r="D175" s="239">
        <f>ROUND(VLOOKUP(A175,'Contribution Allocation_Report'!$A$9:$D$310,4,FALSE)*$D$311,0)</f>
        <v>857465</v>
      </c>
      <c r="E175" s="239">
        <f>ROUND(VLOOKUP(A175,'Contribution Allocation_Report'!$A$9:$D$310,4,FALSE)*$E$311,0)</f>
        <v>686392</v>
      </c>
      <c r="F175" s="8"/>
    </row>
    <row r="176" spans="1:6">
      <c r="A176" s="220">
        <v>2354</v>
      </c>
      <c r="B176" s="221" t="s">
        <v>167</v>
      </c>
      <c r="C176" s="240">
        <f>ROUND(VLOOKUP(A176,'Contribution Allocation_Report'!$A$9:$D$310,4,FALSE)*$C$311,0)</f>
        <v>2810048</v>
      </c>
      <c r="D176" s="240">
        <f>ROUND(VLOOKUP(A176,'Contribution Allocation_Report'!$A$9:$D$310,4,FALSE)*$D$311,0)</f>
        <v>2236451</v>
      </c>
      <c r="E176" s="240">
        <f>ROUND(VLOOKUP(A176,'Contribution Allocation_Report'!$A$9:$D$310,4,FALSE)*$E$311,0)</f>
        <v>1790255</v>
      </c>
      <c r="F176" s="8"/>
    </row>
    <row r="177" spans="1:6">
      <c r="A177" s="218">
        <v>2148</v>
      </c>
      <c r="B177" s="219" t="s">
        <v>168</v>
      </c>
      <c r="C177" s="239">
        <f>ROUND(VLOOKUP(A177,'Contribution Allocation_Report'!$A$9:$D$310,4,FALSE)*$C$311,0)</f>
        <v>1001315</v>
      </c>
      <c r="D177" s="239">
        <f>ROUND(VLOOKUP(A177,'Contribution Allocation_Report'!$A$9:$D$310,4,FALSE)*$D$311,0)</f>
        <v>796923</v>
      </c>
      <c r="E177" s="239">
        <f>ROUND(VLOOKUP(A177,'Contribution Allocation_Report'!$A$9:$D$310,4,FALSE)*$E$311,0)</f>
        <v>637928</v>
      </c>
      <c r="F177" s="8"/>
    </row>
    <row r="178" spans="1:6">
      <c r="A178" s="220">
        <v>1418</v>
      </c>
      <c r="B178" s="221" t="s">
        <v>169</v>
      </c>
      <c r="C178" s="240">
        <f>ROUND(VLOOKUP(A178,'Contribution Allocation_Report'!$A$9:$D$310,4,FALSE)*$C$311,0)</f>
        <v>3863041</v>
      </c>
      <c r="D178" s="240">
        <f>ROUND(VLOOKUP(A178,'Contribution Allocation_Report'!$A$9:$D$310,4,FALSE)*$D$311,0)</f>
        <v>3074503</v>
      </c>
      <c r="E178" s="240">
        <f>ROUND(VLOOKUP(A178,'Contribution Allocation_Report'!$A$9:$D$310,4,FALSE)*$E$311,0)</f>
        <v>2461107</v>
      </c>
      <c r="F178" s="8"/>
    </row>
    <row r="179" spans="1:6">
      <c r="A179" s="218">
        <v>12102</v>
      </c>
      <c r="B179" s="219" t="s">
        <v>170</v>
      </c>
      <c r="C179" s="239">
        <f>ROUND(VLOOKUP(A179,'Contribution Allocation_Report'!$A$9:$D$310,4,FALSE)*$C$311,0)</f>
        <v>21892081</v>
      </c>
      <c r="D179" s="239">
        <f>ROUND(VLOOKUP(A179,'Contribution Allocation_Report'!$A$9:$D$310,4,FALSE)*$D$311,0)</f>
        <v>17423389</v>
      </c>
      <c r="E179" s="239">
        <f>ROUND(VLOOKUP(A179,'Contribution Allocation_Report'!$A$9:$D$310,4,FALSE)*$E$311,0)</f>
        <v>13947237</v>
      </c>
      <c r="F179" s="8"/>
    </row>
    <row r="180" spans="1:6">
      <c r="A180" s="220">
        <v>2414</v>
      </c>
      <c r="B180" s="221" t="s">
        <v>171</v>
      </c>
      <c r="C180" s="240">
        <f>ROUND(VLOOKUP(A180,'Contribution Allocation_Report'!$A$9:$D$310,4,FALSE)*$C$311,0)</f>
        <v>1660727</v>
      </c>
      <c r="D180" s="240">
        <f>ROUND(VLOOKUP(A180,'Contribution Allocation_Report'!$A$9:$D$310,4,FALSE)*$D$311,0)</f>
        <v>1321734</v>
      </c>
      <c r="E180" s="240">
        <f>ROUND(VLOOKUP(A180,'Contribution Allocation_Report'!$A$9:$D$310,4,FALSE)*$E$311,0)</f>
        <v>1058034</v>
      </c>
      <c r="F180" s="8"/>
    </row>
    <row r="181" spans="1:6">
      <c r="A181" s="218">
        <v>6124</v>
      </c>
      <c r="B181" s="219" t="s">
        <v>172</v>
      </c>
      <c r="C181" s="239">
        <f>ROUND(VLOOKUP(A181,'Contribution Allocation_Report'!$A$9:$D$310,4,FALSE)*$C$311,0)</f>
        <v>10297997</v>
      </c>
      <c r="D181" s="239">
        <f>ROUND(VLOOKUP(A181,'Contribution Allocation_Report'!$A$9:$D$310,4,FALSE)*$D$311,0)</f>
        <v>8195932</v>
      </c>
      <c r="E181" s="239">
        <f>ROUND(VLOOKUP(A181,'Contribution Allocation_Report'!$A$9:$D$310,4,FALSE)*$E$311,0)</f>
        <v>6560756</v>
      </c>
      <c r="F181" s="8"/>
    </row>
    <row r="182" spans="1:6">
      <c r="A182" s="220">
        <v>4097</v>
      </c>
      <c r="B182" s="221" t="s">
        <v>173</v>
      </c>
      <c r="C182" s="240">
        <f>ROUND(VLOOKUP(A182,'Contribution Allocation_Report'!$A$9:$D$310,4,FALSE)*$C$311,0)</f>
        <v>12186522</v>
      </c>
      <c r="D182" s="240">
        <f>ROUND(VLOOKUP(A182,'Contribution Allocation_Report'!$A$9:$D$310,4,FALSE)*$D$311,0)</f>
        <v>9698964</v>
      </c>
      <c r="E182" s="240">
        <f>ROUND(VLOOKUP(A182,'Contribution Allocation_Report'!$A$9:$D$310,4,FALSE)*$E$311,0)</f>
        <v>7763917</v>
      </c>
      <c r="F182" s="8"/>
    </row>
    <row r="183" spans="1:6">
      <c r="A183" s="218">
        <v>1416</v>
      </c>
      <c r="B183" s="219" t="s">
        <v>174</v>
      </c>
      <c r="C183" s="239">
        <f>ROUND(VLOOKUP(A183,'Contribution Allocation_Report'!$A$9:$D$310,4,FALSE)*$C$311,0)</f>
        <v>1501972</v>
      </c>
      <c r="D183" s="239">
        <f>ROUND(VLOOKUP(A183,'Contribution Allocation_Report'!$A$9:$D$310,4,FALSE)*$D$311,0)</f>
        <v>1195384</v>
      </c>
      <c r="E183" s="239">
        <f>ROUND(VLOOKUP(A183,'Contribution Allocation_Report'!$A$9:$D$310,4,FALSE)*$E$311,0)</f>
        <v>956892</v>
      </c>
      <c r="F183" s="8"/>
    </row>
    <row r="184" spans="1:6">
      <c r="A184" s="220">
        <v>1094</v>
      </c>
      <c r="B184" s="221" t="s">
        <v>175</v>
      </c>
      <c r="C184" s="240">
        <f>ROUND(VLOOKUP(A184,'Contribution Allocation_Report'!$A$9:$D$310,4,FALSE)*$C$311,0)</f>
        <v>9101546</v>
      </c>
      <c r="D184" s="240">
        <f>ROUND(VLOOKUP(A184,'Contribution Allocation_Report'!$A$9:$D$310,4,FALSE)*$D$311,0)</f>
        <v>7243705</v>
      </c>
      <c r="E184" s="240">
        <f>ROUND(VLOOKUP(A184,'Contribution Allocation_Report'!$A$9:$D$310,4,FALSE)*$E$311,0)</f>
        <v>5798509</v>
      </c>
      <c r="F184" s="8"/>
    </row>
    <row r="185" spans="1:6">
      <c r="A185" s="218">
        <v>32111</v>
      </c>
      <c r="B185" s="219" t="s">
        <v>176</v>
      </c>
      <c r="C185" s="239">
        <f>ROUND(VLOOKUP(A185,'Contribution Allocation_Report'!$A$9:$D$310,4,FALSE)*$C$311,0)</f>
        <v>8351594</v>
      </c>
      <c r="D185" s="239">
        <f>ROUND(VLOOKUP(A185,'Contribution Allocation_Report'!$A$9:$D$310,4,FALSE)*$D$311,0)</f>
        <v>6646836</v>
      </c>
      <c r="E185" s="239">
        <f>ROUND(VLOOKUP(A185,'Contribution Allocation_Report'!$A$9:$D$310,4,FALSE)*$E$311,0)</f>
        <v>5320721</v>
      </c>
      <c r="F185" s="8"/>
    </row>
    <row r="186" spans="1:6">
      <c r="A186" s="220">
        <v>2520</v>
      </c>
      <c r="B186" s="221" t="s">
        <v>177</v>
      </c>
      <c r="C186" s="240">
        <f>ROUND(VLOOKUP(A186,'Contribution Allocation_Report'!$A$9:$D$310,4,FALSE)*$C$311,0)</f>
        <v>1154695</v>
      </c>
      <c r="D186" s="240">
        <f>ROUND(VLOOKUP(A186,'Contribution Allocation_Report'!$A$9:$D$310,4,FALSE)*$D$311,0)</f>
        <v>918995</v>
      </c>
      <c r="E186" s="240">
        <f>ROUND(VLOOKUP(A186,'Contribution Allocation_Report'!$A$9:$D$310,4,FALSE)*$E$311,0)</f>
        <v>735645</v>
      </c>
      <c r="F186" s="8"/>
    </row>
    <row r="187" spans="1:6">
      <c r="A187" s="218">
        <v>3450</v>
      </c>
      <c r="B187" s="219" t="s">
        <v>178</v>
      </c>
      <c r="C187" s="239">
        <f>ROUND(VLOOKUP(A187,'Contribution Allocation_Report'!$A$9:$D$310,4,FALSE)*$C$311,0)</f>
        <v>2354867</v>
      </c>
      <c r="D187" s="239">
        <f>ROUND(VLOOKUP(A187,'Contribution Allocation_Report'!$A$9:$D$310,4,FALSE)*$D$311,0)</f>
        <v>1874183</v>
      </c>
      <c r="E187" s="239">
        <f>ROUND(VLOOKUP(A187,'Contribution Allocation_Report'!$A$9:$D$310,4,FALSE)*$E$311,0)</f>
        <v>1500264</v>
      </c>
      <c r="F187" s="8"/>
    </row>
    <row r="188" spans="1:6">
      <c r="A188" s="220">
        <v>4310</v>
      </c>
      <c r="B188" s="221" t="s">
        <v>179</v>
      </c>
      <c r="C188" s="240">
        <f>ROUND(VLOOKUP(A188,'Contribution Allocation_Report'!$A$9:$D$310,4,FALSE)*$C$311,0)</f>
        <v>1345284</v>
      </c>
      <c r="D188" s="240">
        <f>ROUND(VLOOKUP(A188,'Contribution Allocation_Report'!$A$9:$D$310,4,FALSE)*$D$311,0)</f>
        <v>1070680</v>
      </c>
      <c r="E188" s="240">
        <f>ROUND(VLOOKUP(A188,'Contribution Allocation_Report'!$A$9:$D$310,4,FALSE)*$E$311,0)</f>
        <v>857068</v>
      </c>
      <c r="F188" s="8"/>
    </row>
    <row r="189" spans="1:6">
      <c r="A189" s="218">
        <v>2328</v>
      </c>
      <c r="B189" s="219" t="s">
        <v>180</v>
      </c>
      <c r="C189" s="239">
        <f>ROUND(VLOOKUP(A189,'Contribution Allocation_Report'!$A$9:$D$310,4,FALSE)*$C$311,0)</f>
        <v>2191151</v>
      </c>
      <c r="D189" s="239">
        <f>ROUND(VLOOKUP(A189,'Contribution Allocation_Report'!$A$9:$D$310,4,FALSE)*$D$311,0)</f>
        <v>1743885</v>
      </c>
      <c r="E189" s="239">
        <f>ROUND(VLOOKUP(A189,'Contribution Allocation_Report'!$A$9:$D$310,4,FALSE)*$E$311,0)</f>
        <v>1395962</v>
      </c>
      <c r="F189" s="8"/>
    </row>
    <row r="190" spans="1:6">
      <c r="A190" s="220">
        <v>12151</v>
      </c>
      <c r="B190" s="221" t="s">
        <v>181</v>
      </c>
      <c r="C190" s="240">
        <f>ROUND(VLOOKUP(A190,'Contribution Allocation_Report'!$A$9:$D$310,4,FALSE)*$C$311,0)</f>
        <v>724320</v>
      </c>
      <c r="D190" s="240">
        <f>ROUND(VLOOKUP(A190,'Contribution Allocation_Report'!$A$9:$D$310,4,FALSE)*$D$311,0)</f>
        <v>576469</v>
      </c>
      <c r="E190" s="240">
        <f>ROUND(VLOOKUP(A190,'Contribution Allocation_Report'!$A$9:$D$310,4,FALSE)*$E$311,0)</f>
        <v>461458</v>
      </c>
      <c r="F190" s="8"/>
    </row>
    <row r="191" spans="1:6">
      <c r="A191" s="218">
        <v>32110</v>
      </c>
      <c r="B191" s="219" t="s">
        <v>182</v>
      </c>
      <c r="C191" s="239">
        <f>ROUND(VLOOKUP(A191,'Contribution Allocation_Report'!$A$9:$D$310,4,FALSE)*$C$311,0)</f>
        <v>8372265</v>
      </c>
      <c r="D191" s="239">
        <f>ROUND(VLOOKUP(A191,'Contribution Allocation_Report'!$A$9:$D$310,4,FALSE)*$D$311,0)</f>
        <v>6663287</v>
      </c>
      <c r="E191" s="239">
        <f>ROUND(VLOOKUP(A191,'Contribution Allocation_Report'!$A$9:$D$310,4,FALSE)*$E$311,0)</f>
        <v>5333890</v>
      </c>
      <c r="F191" s="8"/>
    </row>
    <row r="192" spans="1:6">
      <c r="A192" s="220">
        <v>4215</v>
      </c>
      <c r="B192" s="221" t="s">
        <v>183</v>
      </c>
      <c r="C192" s="240">
        <f>ROUND(VLOOKUP(A192,'Contribution Allocation_Report'!$A$9:$D$310,4,FALSE)*$C$311,0)</f>
        <v>122374</v>
      </c>
      <c r="D192" s="240">
        <f>ROUND(VLOOKUP(A192,'Contribution Allocation_Report'!$A$9:$D$310,4,FALSE)*$D$311,0)</f>
        <v>97394</v>
      </c>
      <c r="E192" s="240">
        <f>ROUND(VLOOKUP(A192,'Contribution Allocation_Report'!$A$9:$D$310,4,FALSE)*$E$311,0)</f>
        <v>77963</v>
      </c>
      <c r="F192" s="8"/>
    </row>
    <row r="193" spans="1:6">
      <c r="A193" s="218">
        <v>2870</v>
      </c>
      <c r="B193" s="219" t="s">
        <v>184</v>
      </c>
      <c r="C193" s="239">
        <f>ROUND(VLOOKUP(A193,'Contribution Allocation_Report'!$A$9:$D$310,4,FALSE)*$C$311,0)</f>
        <v>1332468</v>
      </c>
      <c r="D193" s="239">
        <f>ROUND(VLOOKUP(A193,'Contribution Allocation_Report'!$A$9:$D$310,4,FALSE)*$D$311,0)</f>
        <v>1060480</v>
      </c>
      <c r="E193" s="239">
        <f>ROUND(VLOOKUP(A193,'Contribution Allocation_Report'!$A$9:$D$310,4,FALSE)*$E$311,0)</f>
        <v>848903</v>
      </c>
      <c r="F193" s="8"/>
    </row>
    <row r="194" spans="1:6">
      <c r="A194" s="220">
        <v>29150</v>
      </c>
      <c r="B194" s="221" t="s">
        <v>185</v>
      </c>
      <c r="C194" s="240">
        <f>ROUND(VLOOKUP(A194,'Contribution Allocation_Report'!$A$9:$D$310,4,FALSE)*$C$311,0)</f>
        <v>406810</v>
      </c>
      <c r="D194" s="240">
        <f>ROUND(VLOOKUP(A194,'Contribution Allocation_Report'!$A$9:$D$310,4,FALSE)*$D$311,0)</f>
        <v>323770</v>
      </c>
      <c r="E194" s="240">
        <f>ROUND(VLOOKUP(A194,'Contribution Allocation_Report'!$A$9:$D$310,4,FALSE)*$E$311,0)</f>
        <v>259175</v>
      </c>
      <c r="F194" s="8"/>
    </row>
    <row r="195" spans="1:6">
      <c r="A195" s="218">
        <v>2311</v>
      </c>
      <c r="B195" s="219" t="s">
        <v>186</v>
      </c>
      <c r="C195" s="239">
        <f>ROUND(VLOOKUP(A195,'Contribution Allocation_Report'!$A$9:$D$310,4,FALSE)*$C$311,0)</f>
        <v>1111286</v>
      </c>
      <c r="D195" s="239">
        <f>ROUND(VLOOKUP(A195,'Contribution Allocation_Report'!$A$9:$D$310,4,FALSE)*$D$311,0)</f>
        <v>884446</v>
      </c>
      <c r="E195" s="239">
        <f>ROUND(VLOOKUP(A195,'Contribution Allocation_Report'!$A$9:$D$310,4,FALSE)*$E$311,0)</f>
        <v>707990</v>
      </c>
      <c r="F195" s="8"/>
    </row>
    <row r="196" spans="1:6">
      <c r="A196" s="220">
        <v>32118</v>
      </c>
      <c r="B196" s="221" t="s">
        <v>187</v>
      </c>
      <c r="C196" s="240">
        <f>ROUND(VLOOKUP(A196,'Contribution Allocation_Report'!$A$9:$D$310,4,FALSE)*$C$311,0)</f>
        <v>3853946</v>
      </c>
      <c r="D196" s="240">
        <f>ROUND(VLOOKUP(A196,'Contribution Allocation_Report'!$A$9:$D$310,4,FALSE)*$D$311,0)</f>
        <v>3067264</v>
      </c>
      <c r="E196" s="240">
        <f>ROUND(VLOOKUP(A196,'Contribution Allocation_Report'!$A$9:$D$310,4,FALSE)*$E$311,0)</f>
        <v>2455312</v>
      </c>
      <c r="F196" s="8"/>
    </row>
    <row r="197" spans="1:6">
      <c r="A197" s="218">
        <v>12039</v>
      </c>
      <c r="B197" s="219" t="s">
        <v>188</v>
      </c>
      <c r="C197" s="239">
        <f>ROUND(VLOOKUP(A197,'Contribution Allocation_Report'!$A$9:$D$310,4,FALSE)*$C$311,0)</f>
        <v>3619120</v>
      </c>
      <c r="D197" s="239">
        <f>ROUND(VLOOKUP(A197,'Contribution Allocation_Report'!$A$9:$D$310,4,FALSE)*$D$311,0)</f>
        <v>2880372</v>
      </c>
      <c r="E197" s="239">
        <f>ROUND(VLOOKUP(A197,'Contribution Allocation_Report'!$A$9:$D$310,4,FALSE)*$E$311,0)</f>
        <v>2305707</v>
      </c>
      <c r="F197" s="8"/>
    </row>
    <row r="198" spans="1:6">
      <c r="A198" s="220">
        <v>12150</v>
      </c>
      <c r="B198" s="221" t="s">
        <v>189</v>
      </c>
      <c r="C198" s="240">
        <f>ROUND(VLOOKUP(A198,'Contribution Allocation_Report'!$A$9:$D$310,4,FALSE)*$C$311,0)</f>
        <v>701995</v>
      </c>
      <c r="D198" s="240">
        <f>ROUND(VLOOKUP(A198,'Contribution Allocation_Report'!$A$9:$D$310,4,FALSE)*$D$311,0)</f>
        <v>558701</v>
      </c>
      <c r="E198" s="240">
        <f>ROUND(VLOOKUP(A198,'Contribution Allocation_Report'!$A$9:$D$310,4,FALSE)*$E$311,0)</f>
        <v>447235</v>
      </c>
      <c r="F198" s="8"/>
    </row>
    <row r="199" spans="1:6">
      <c r="A199" s="218">
        <v>20060</v>
      </c>
      <c r="B199" s="219" t="s">
        <v>190</v>
      </c>
      <c r="C199" s="239">
        <f>ROUND(VLOOKUP(A199,'Contribution Allocation_Report'!$A$9:$D$310,4,FALSE)*$C$311,0)</f>
        <v>2568195</v>
      </c>
      <c r="D199" s="239">
        <f>ROUND(VLOOKUP(A199,'Contribution Allocation_Report'!$A$9:$D$310,4,FALSE)*$D$311,0)</f>
        <v>2043965</v>
      </c>
      <c r="E199" s="239">
        <f>ROUND(VLOOKUP(A199,'Contribution Allocation_Report'!$A$9:$D$310,4,FALSE)*$E$311,0)</f>
        <v>1636172</v>
      </c>
      <c r="F199" s="8"/>
    </row>
    <row r="200" spans="1:6">
      <c r="A200" s="220">
        <v>1001</v>
      </c>
      <c r="B200" s="221" t="s">
        <v>191</v>
      </c>
      <c r="C200" s="240">
        <f>ROUND(VLOOKUP(A200,'Contribution Allocation_Report'!$A$9:$D$310,4,FALSE)*$C$311,0)</f>
        <v>7122482</v>
      </c>
      <c r="D200" s="240">
        <f>ROUND(VLOOKUP(A200,'Contribution Allocation_Report'!$A$9:$D$310,4,FALSE)*$D$311,0)</f>
        <v>5668615</v>
      </c>
      <c r="E200" s="240">
        <f>ROUND(VLOOKUP(A200,'Contribution Allocation_Report'!$A$9:$D$310,4,FALSE)*$E$311,0)</f>
        <v>4537666</v>
      </c>
      <c r="F200" s="8"/>
    </row>
    <row r="201" spans="1:6">
      <c r="A201" s="218">
        <v>11035</v>
      </c>
      <c r="B201" s="219" t="s">
        <v>192</v>
      </c>
      <c r="C201" s="239">
        <f>ROUND(VLOOKUP(A201,'Contribution Allocation_Report'!$A$9:$D$310,4,FALSE)*$C$311,0)</f>
        <v>16453892</v>
      </c>
      <c r="D201" s="239">
        <f>ROUND(VLOOKUP(A201,'Contribution Allocation_Report'!$A$9:$D$310,4,FALSE)*$D$311,0)</f>
        <v>13095263</v>
      </c>
      <c r="E201" s="239">
        <f>ROUND(VLOOKUP(A201,'Contribution Allocation_Report'!$A$9:$D$310,4,FALSE)*$E$311,0)</f>
        <v>10482618</v>
      </c>
      <c r="F201" s="8"/>
    </row>
    <row r="202" spans="1:6">
      <c r="A202" s="220">
        <v>2320</v>
      </c>
      <c r="B202" s="221" t="s">
        <v>193</v>
      </c>
      <c r="C202" s="240">
        <f>ROUND(VLOOKUP(A202,'Contribution Allocation_Report'!$A$9:$D$310,4,FALSE)*$C$311,0)</f>
        <v>1976584</v>
      </c>
      <c r="D202" s="240">
        <f>ROUND(VLOOKUP(A202,'Contribution Allocation_Report'!$A$9:$D$310,4,FALSE)*$D$311,0)</f>
        <v>1573116</v>
      </c>
      <c r="E202" s="240">
        <f>ROUND(VLOOKUP(A202,'Contribution Allocation_Report'!$A$9:$D$310,4,FALSE)*$E$311,0)</f>
        <v>1259263</v>
      </c>
      <c r="F202" s="8"/>
    </row>
    <row r="203" spans="1:6">
      <c r="A203" s="218">
        <v>28084</v>
      </c>
      <c r="B203" s="219" t="s">
        <v>194</v>
      </c>
      <c r="C203" s="239">
        <f>ROUND(VLOOKUP(A203,'Contribution Allocation_Report'!$A$9:$D$310,4,FALSE)*$C$311,0)</f>
        <v>1562746</v>
      </c>
      <c r="D203" s="239">
        <f>ROUND(VLOOKUP(A203,'Contribution Allocation_Report'!$A$9:$D$310,4,FALSE)*$D$311,0)</f>
        <v>1243752</v>
      </c>
      <c r="E203" s="239">
        <f>ROUND(VLOOKUP(A203,'Contribution Allocation_Report'!$A$9:$D$310,4,FALSE)*$E$311,0)</f>
        <v>995610</v>
      </c>
      <c r="F203" s="8"/>
    </row>
    <row r="204" spans="1:6">
      <c r="A204" s="220">
        <v>20125</v>
      </c>
      <c r="B204" s="221" t="s">
        <v>195</v>
      </c>
      <c r="C204" s="240">
        <f>ROUND(VLOOKUP(A204,'Contribution Allocation_Report'!$A$9:$D$310,4,FALSE)*$C$311,0)</f>
        <v>1826924</v>
      </c>
      <c r="D204" s="240">
        <f>ROUND(VLOOKUP(A204,'Contribution Allocation_Report'!$A$9:$D$310,4,FALSE)*$D$311,0)</f>
        <v>1454006</v>
      </c>
      <c r="E204" s="240">
        <f>ROUND(VLOOKUP(A204,'Contribution Allocation_Report'!$A$9:$D$310,4,FALSE)*$E$311,0)</f>
        <v>1163916</v>
      </c>
      <c r="F204" s="8"/>
    </row>
    <row r="205" spans="1:6" s="215" customFormat="1">
      <c r="A205" s="218">
        <v>7445</v>
      </c>
      <c r="B205" s="219" t="s">
        <v>430</v>
      </c>
      <c r="C205" s="239">
        <f>ROUND(VLOOKUP(A205,'Contribution Allocation_Report'!$A$9:$D$310,4,FALSE)*$C$311,0)</f>
        <v>417972</v>
      </c>
      <c r="D205" s="239">
        <f>ROUND(VLOOKUP(A205,'Contribution Allocation_Report'!$A$9:$D$310,4,FALSE)*$D$311,0)</f>
        <v>332654</v>
      </c>
      <c r="E205" s="239">
        <f>ROUND(VLOOKUP(A205,'Contribution Allocation_Report'!$A$9:$D$310,4,FALSE)*$E$311,0)</f>
        <v>266286</v>
      </c>
      <c r="F205" s="217"/>
    </row>
    <row r="206" spans="1:6">
      <c r="A206" s="220">
        <v>4170</v>
      </c>
      <c r="B206" s="221" t="s">
        <v>196</v>
      </c>
      <c r="C206" s="240">
        <f>ROUND(VLOOKUP(A206,'Contribution Allocation_Report'!$A$9:$D$310,4,FALSE)*$C$311,0)</f>
        <v>89300</v>
      </c>
      <c r="D206" s="240">
        <f>ROUND(VLOOKUP(A206,'Contribution Allocation_Report'!$A$9:$D$310,4,FALSE)*$D$311,0)</f>
        <v>71072</v>
      </c>
      <c r="E206" s="240">
        <f>ROUND(VLOOKUP(A206,'Contribution Allocation_Report'!$A$9:$D$310,4,FALSE)*$E$311,0)</f>
        <v>56892</v>
      </c>
      <c r="F206" s="8"/>
    </row>
    <row r="207" spans="1:6">
      <c r="A207" s="218">
        <v>9029</v>
      </c>
      <c r="B207" s="219" t="s">
        <v>197</v>
      </c>
      <c r="C207" s="239">
        <f>ROUND(VLOOKUP(A207,'Contribution Allocation_Report'!$A$9:$D$310,4,FALSE)*$C$311,0)</f>
        <v>4850299</v>
      </c>
      <c r="D207" s="239">
        <f>ROUND(VLOOKUP(A207,'Contribution Allocation_Report'!$A$9:$D$310,4,FALSE)*$D$311,0)</f>
        <v>3860238</v>
      </c>
      <c r="E207" s="239">
        <f>ROUND(VLOOKUP(A207,'Contribution Allocation_Report'!$A$9:$D$310,4,FALSE)*$E$311,0)</f>
        <v>3090080</v>
      </c>
      <c r="F207" s="8"/>
    </row>
    <row r="208" spans="1:6">
      <c r="A208" s="220">
        <v>2580</v>
      </c>
      <c r="B208" s="221" t="s">
        <v>198</v>
      </c>
      <c r="C208" s="240">
        <f>ROUND(VLOOKUP(A208,'Contribution Allocation_Report'!$A$9:$D$310,4,FALSE)*$C$311,0)</f>
        <v>702409</v>
      </c>
      <c r="D208" s="240">
        <f>ROUND(VLOOKUP(A208,'Contribution Allocation_Report'!$A$9:$D$310,4,FALSE)*$D$311,0)</f>
        <v>559030</v>
      </c>
      <c r="E208" s="240">
        <f>ROUND(VLOOKUP(A208,'Contribution Allocation_Report'!$A$9:$D$310,4,FALSE)*$E$311,0)</f>
        <v>447498</v>
      </c>
      <c r="F208" s="8"/>
    </row>
    <row r="209" spans="1:6">
      <c r="A209" s="218">
        <v>20312</v>
      </c>
      <c r="B209" s="219" t="s">
        <v>199</v>
      </c>
      <c r="C209" s="239">
        <f>ROUND(VLOOKUP(A209,'Contribution Allocation_Report'!$A$9:$D$310,4,FALSE)*$C$311,0)</f>
        <v>531664</v>
      </c>
      <c r="D209" s="239">
        <f>ROUND(VLOOKUP(A209,'Contribution Allocation_Report'!$A$9:$D$310,4,FALSE)*$D$311,0)</f>
        <v>423139</v>
      </c>
      <c r="E209" s="239">
        <f>ROUND(VLOOKUP(A209,'Contribution Allocation_Report'!$A$9:$D$310,4,FALSE)*$E$311,0)</f>
        <v>338718</v>
      </c>
      <c r="F209" s="8"/>
    </row>
    <row r="210" spans="1:6">
      <c r="A210" s="220">
        <v>26150</v>
      </c>
      <c r="B210" s="221" t="s">
        <v>200</v>
      </c>
      <c r="C210" s="240">
        <f>ROUND(VLOOKUP(A210,'Contribution Allocation_Report'!$A$9:$D$310,4,FALSE)*$C$311,0)</f>
        <v>3505429</v>
      </c>
      <c r="D210" s="240">
        <f>ROUND(VLOOKUP(A210,'Contribution Allocation_Report'!$A$9:$D$310,4,FALSE)*$D$311,0)</f>
        <v>2789888</v>
      </c>
      <c r="E210" s="240">
        <f>ROUND(VLOOKUP(A210,'Contribution Allocation_Report'!$A$9:$D$310,4,FALSE)*$E$311,0)</f>
        <v>2233275</v>
      </c>
      <c r="F210" s="8"/>
    </row>
    <row r="211" spans="1:6">
      <c r="A211" s="218">
        <v>5016</v>
      </c>
      <c r="B211" s="219" t="s">
        <v>201</v>
      </c>
      <c r="C211" s="239">
        <f>ROUND(VLOOKUP(A211,'Contribution Allocation_Report'!$A$9:$D$310,4,FALSE)*$C$311,0)</f>
        <v>406397</v>
      </c>
      <c r="D211" s="239">
        <f>ROUND(VLOOKUP(A211,'Contribution Allocation_Report'!$A$9:$D$310,4,FALSE)*$D$311,0)</f>
        <v>323441</v>
      </c>
      <c r="E211" s="239">
        <f>ROUND(VLOOKUP(A211,'Contribution Allocation_Report'!$A$9:$D$310,4,FALSE)*$E$311,0)</f>
        <v>258911</v>
      </c>
      <c r="F211" s="8"/>
    </row>
    <row r="212" spans="1:6">
      <c r="A212" s="220">
        <v>6150</v>
      </c>
      <c r="B212" s="221" t="s">
        <v>202</v>
      </c>
      <c r="C212" s="240">
        <f>ROUND(VLOOKUP(A212,'Contribution Allocation_Report'!$A$9:$D$310,4,FALSE)*$C$311,0)</f>
        <v>337355</v>
      </c>
      <c r="D212" s="240">
        <f>ROUND(VLOOKUP(A212,'Contribution Allocation_Report'!$A$9:$D$310,4,FALSE)*$D$311,0)</f>
        <v>268493</v>
      </c>
      <c r="E212" s="240">
        <f>ROUND(VLOOKUP(A212,'Contribution Allocation_Report'!$A$9:$D$310,4,FALSE)*$E$311,0)</f>
        <v>214925</v>
      </c>
      <c r="F212" s="8"/>
    </row>
    <row r="213" spans="1:6">
      <c r="A213" s="218">
        <v>4480</v>
      </c>
      <c r="B213" s="219" t="s">
        <v>203</v>
      </c>
      <c r="C213" s="239">
        <f>ROUND(VLOOKUP(A213,'Contribution Allocation_Report'!$A$9:$D$310,4,FALSE)*$C$311,0)</f>
        <v>692486</v>
      </c>
      <c r="D213" s="239">
        <f>ROUND(VLOOKUP(A213,'Contribution Allocation_Report'!$A$9:$D$310,4,FALSE)*$D$311,0)</f>
        <v>551134</v>
      </c>
      <c r="E213" s="239">
        <f>ROUND(VLOOKUP(A213,'Contribution Allocation_Report'!$A$9:$D$310,4,FALSE)*$E$311,0)</f>
        <v>441177</v>
      </c>
      <c r="F213" s="8"/>
    </row>
    <row r="214" spans="1:6">
      <c r="A214" s="220">
        <v>28085</v>
      </c>
      <c r="B214" s="221" t="s">
        <v>204</v>
      </c>
      <c r="C214" s="240">
        <f>ROUND(VLOOKUP(A214,'Contribution Allocation_Report'!$A$9:$D$310,4,FALSE)*$C$311,0)</f>
        <v>1280376</v>
      </c>
      <c r="D214" s="240">
        <f>ROUND(VLOOKUP(A214,'Contribution Allocation_Report'!$A$9:$D$310,4,FALSE)*$D$311,0)</f>
        <v>1019021</v>
      </c>
      <c r="E214" s="240">
        <f>ROUND(VLOOKUP(A214,'Contribution Allocation_Report'!$A$9:$D$310,4,FALSE)*$E$311,0)</f>
        <v>815716</v>
      </c>
      <c r="F214" s="8"/>
    </row>
    <row r="215" spans="1:6">
      <c r="A215" s="218">
        <v>3240</v>
      </c>
      <c r="B215" s="219" t="s">
        <v>205</v>
      </c>
      <c r="C215" s="239">
        <f>ROUND(VLOOKUP(A215,'Contribution Allocation_Report'!$A$9:$D$310,4,FALSE)*$C$311,0)</f>
        <v>8469420</v>
      </c>
      <c r="D215" s="239">
        <f>ROUND(VLOOKUP(A215,'Contribution Allocation_Report'!$A$9:$D$310,4,FALSE)*$D$311,0)</f>
        <v>6740611</v>
      </c>
      <c r="E215" s="239">
        <f>ROUND(VLOOKUP(A215,'Contribution Allocation_Report'!$A$9:$D$310,4,FALSE)*$E$311,0)</f>
        <v>5395787</v>
      </c>
      <c r="F215" s="8"/>
    </row>
    <row r="216" spans="1:6">
      <c r="A216" s="220">
        <v>12326</v>
      </c>
      <c r="B216" s="221" t="s">
        <v>206</v>
      </c>
      <c r="C216" s="240">
        <f>ROUND(VLOOKUP(A216,'Contribution Allocation_Report'!$A$9:$D$310,4,FALSE)*$C$311,0)</f>
        <v>451873</v>
      </c>
      <c r="D216" s="240">
        <f>ROUND(VLOOKUP(A216,'Contribution Allocation_Report'!$A$9:$D$310,4,FALSE)*$D$311,0)</f>
        <v>359635</v>
      </c>
      <c r="E216" s="240">
        <f>ROUND(VLOOKUP(A216,'Contribution Allocation_Report'!$A$9:$D$310,4,FALSE)*$E$311,0)</f>
        <v>287884</v>
      </c>
      <c r="F216" s="8"/>
    </row>
    <row r="217" spans="1:6">
      <c r="A217" s="218">
        <v>29123</v>
      </c>
      <c r="B217" s="219" t="s">
        <v>207</v>
      </c>
      <c r="C217" s="239">
        <f>ROUND(VLOOKUP(A217,'Contribution Allocation_Report'!$A$9:$D$310,4,FALSE)*$C$311,0)</f>
        <v>92527355</v>
      </c>
      <c r="D217" s="239">
        <f>ROUND(VLOOKUP(A217,'Contribution Allocation_Report'!$A$9:$D$310,4,FALSE)*$D$311,0)</f>
        <v>73640332</v>
      </c>
      <c r="E217" s="239">
        <f>ROUND(VLOOKUP(A217,'Contribution Allocation_Report'!$A$9:$D$310,4,FALSE)*$E$311,0)</f>
        <v>58948300</v>
      </c>
      <c r="F217" s="8"/>
    </row>
    <row r="218" spans="1:6">
      <c r="A218" s="220">
        <v>2318</v>
      </c>
      <c r="B218" s="249" t="s">
        <v>208</v>
      </c>
      <c r="C218" s="272">
        <f>ROUND(VLOOKUP(A218,'Contribution Allocation_Report'!$A$9:$D$310,4,FALSE)*$C$311,0)</f>
        <v>2105986</v>
      </c>
      <c r="D218" s="272">
        <f>ROUND(VLOOKUP(A218,'Contribution Allocation_Report'!$A$9:$D$310,4,FALSE)*$D$311,0)</f>
        <v>1676104</v>
      </c>
      <c r="E218" s="272">
        <f>ROUND(VLOOKUP(A218,'Contribution Allocation_Report'!$A$9:$D$310,4,FALSE)*$E$311,0)</f>
        <v>1341704</v>
      </c>
      <c r="F218" s="8"/>
    </row>
    <row r="219" spans="1:6">
      <c r="A219" s="218">
        <v>3250</v>
      </c>
      <c r="B219" s="219" t="s">
        <v>209</v>
      </c>
      <c r="C219" s="239">
        <f>ROUND(VLOOKUP(A219,'Contribution Allocation_Report'!$A$9:$D$310,4,FALSE)*$C$311,0)</f>
        <v>2835267</v>
      </c>
      <c r="D219" s="239">
        <f>ROUND(VLOOKUP(A219,'Contribution Allocation_Report'!$A$9:$D$310,4,FALSE)*$D$311,0)</f>
        <v>2256522</v>
      </c>
      <c r="E219" s="239">
        <f>ROUND(VLOOKUP(A219,'Contribution Allocation_Report'!$A$9:$D$310,4,FALSE)*$E$311,0)</f>
        <v>1806322</v>
      </c>
      <c r="F219" s="8"/>
    </row>
    <row r="220" spans="1:6">
      <c r="A220" s="220">
        <v>2313</v>
      </c>
      <c r="B220" s="221" t="s">
        <v>210</v>
      </c>
      <c r="C220" s="240">
        <f>ROUND(VLOOKUP(A220,'Contribution Allocation_Report'!$A$9:$D$310,4,FALSE)*$C$311,0)</f>
        <v>291051</v>
      </c>
      <c r="D220" s="240">
        <f>ROUND(VLOOKUP(A220,'Contribution Allocation_Report'!$A$9:$D$310,4,FALSE)*$D$311,0)</f>
        <v>231641</v>
      </c>
      <c r="E220" s="240">
        <f>ROUND(VLOOKUP(A220,'Contribution Allocation_Report'!$A$9:$D$310,4,FALSE)*$E$311,0)</f>
        <v>185426</v>
      </c>
      <c r="F220" s="8"/>
    </row>
    <row r="221" spans="1:6">
      <c r="A221" s="218">
        <v>4011</v>
      </c>
      <c r="B221" s="219" t="s">
        <v>211</v>
      </c>
      <c r="C221" s="239">
        <f>ROUND(VLOOKUP(A221,'Contribution Allocation_Report'!$A$9:$D$310,4,FALSE)*$C$311,0)</f>
        <v>52432182</v>
      </c>
      <c r="D221" s="239">
        <f>ROUND(VLOOKUP(A221,'Contribution Allocation_Report'!$A$9:$D$310,4,FALSE)*$D$311,0)</f>
        <v>41729532</v>
      </c>
      <c r="E221" s="239">
        <f>ROUND(VLOOKUP(A221,'Contribution Allocation_Report'!$A$9:$D$310,4,FALSE)*$E$311,0)</f>
        <v>33404045</v>
      </c>
      <c r="F221" s="8"/>
    </row>
    <row r="222" spans="1:6">
      <c r="A222" s="220">
        <v>31092</v>
      </c>
      <c r="B222" s="221" t="s">
        <v>212</v>
      </c>
      <c r="C222" s="240">
        <f>ROUND(VLOOKUP(A222,'Contribution Allocation_Report'!$A$9:$D$310,4,FALSE)*$C$311,0)</f>
        <v>844213</v>
      </c>
      <c r="D222" s="240">
        <f>ROUND(VLOOKUP(A222,'Contribution Allocation_Report'!$A$9:$D$310,4,FALSE)*$D$311,0)</f>
        <v>671889</v>
      </c>
      <c r="E222" s="240">
        <f>ROUND(VLOOKUP(A222,'Contribution Allocation_Report'!$A$9:$D$310,4,FALSE)*$E$311,0)</f>
        <v>537840</v>
      </c>
      <c r="F222" s="8"/>
    </row>
    <row r="223" spans="1:6">
      <c r="A223" s="218">
        <v>26081</v>
      </c>
      <c r="B223" s="219" t="s">
        <v>213</v>
      </c>
      <c r="C223" s="239">
        <f>ROUND(VLOOKUP(A223,'Contribution Allocation_Report'!$A$9:$D$310,4,FALSE)*$C$311,0)</f>
        <v>9217305</v>
      </c>
      <c r="D223" s="239">
        <f>ROUND(VLOOKUP(A223,'Contribution Allocation_Report'!$A$9:$D$310,4,FALSE)*$D$311,0)</f>
        <v>7335835</v>
      </c>
      <c r="E223" s="239">
        <f>ROUND(VLOOKUP(A223,'Contribution Allocation_Report'!$A$9:$D$310,4,FALSE)*$E$311,0)</f>
        <v>5872258</v>
      </c>
      <c r="F223" s="8"/>
    </row>
    <row r="224" spans="1:6">
      <c r="A224" s="220">
        <v>29305</v>
      </c>
      <c r="B224" s="221" t="s">
        <v>214</v>
      </c>
      <c r="C224" s="240">
        <f>ROUND(VLOOKUP(A224,'Contribution Allocation_Report'!$A$9:$D$310,4,FALSE)*$C$311,0)</f>
        <v>749539</v>
      </c>
      <c r="D224" s="240">
        <f>ROUND(VLOOKUP(A224,'Contribution Allocation_Report'!$A$9:$D$310,4,FALSE)*$D$311,0)</f>
        <v>596540</v>
      </c>
      <c r="E224" s="240">
        <f>ROUND(VLOOKUP(A224,'Contribution Allocation_Report'!$A$9:$D$310,4,FALSE)*$E$311,0)</f>
        <v>477524</v>
      </c>
      <c r="F224" s="8"/>
    </row>
    <row r="225" spans="1:6">
      <c r="A225" s="218">
        <v>10032</v>
      </c>
      <c r="B225" s="219" t="s">
        <v>215</v>
      </c>
      <c r="C225" s="239">
        <f>ROUND(VLOOKUP(A225,'Contribution Allocation_Report'!$A$9:$D$310,4,FALSE)*$C$311,0)</f>
        <v>1060435</v>
      </c>
      <c r="D225" s="239">
        <f>ROUND(VLOOKUP(A225,'Contribution Allocation_Report'!$A$9:$D$310,4,FALSE)*$D$311,0)</f>
        <v>843975</v>
      </c>
      <c r="E225" s="239">
        <f>ROUND(VLOOKUP(A225,'Contribution Allocation_Report'!$A$9:$D$310,4,FALSE)*$E$311,0)</f>
        <v>675593</v>
      </c>
      <c r="F225" s="8"/>
    </row>
    <row r="226" spans="1:6">
      <c r="A226" s="220">
        <v>32107</v>
      </c>
      <c r="B226" s="221" t="s">
        <v>216</v>
      </c>
      <c r="C226" s="240">
        <f>ROUND(VLOOKUP(A226,'Contribution Allocation_Report'!$A$9:$D$310,4,FALSE)*$C$311,0)</f>
        <v>1345284</v>
      </c>
      <c r="D226" s="240">
        <f>ROUND(VLOOKUP(A226,'Contribution Allocation_Report'!$A$9:$D$310,4,FALSE)*$D$311,0)</f>
        <v>1070680</v>
      </c>
      <c r="E226" s="240">
        <f>ROUND(VLOOKUP(A226,'Contribution Allocation_Report'!$A$9:$D$310,4,FALSE)*$E$311,0)</f>
        <v>857068</v>
      </c>
      <c r="F226" s="8"/>
    </row>
    <row r="227" spans="1:6">
      <c r="A227" s="218">
        <v>3260</v>
      </c>
      <c r="B227" s="219" t="s">
        <v>217</v>
      </c>
      <c r="C227" s="239">
        <f>ROUND(VLOOKUP(A227,'Contribution Allocation_Report'!$A$9:$D$310,4,FALSE)*$C$311,0)</f>
        <v>25059742</v>
      </c>
      <c r="D227" s="239">
        <f>ROUND(VLOOKUP(A227,'Contribution Allocation_Report'!$A$9:$D$310,4,FALSE)*$D$311,0)</f>
        <v>19944455</v>
      </c>
      <c r="E227" s="239">
        <f>ROUND(VLOOKUP(A227,'Contribution Allocation_Report'!$A$9:$D$310,4,FALSE)*$E$311,0)</f>
        <v>15965324</v>
      </c>
      <c r="F227" s="8"/>
    </row>
    <row r="228" spans="1:6">
      <c r="A228" s="220">
        <v>4390</v>
      </c>
      <c r="B228" s="221" t="s">
        <v>218</v>
      </c>
      <c r="C228" s="240">
        <f>ROUND(VLOOKUP(A228,'Contribution Allocation_Report'!$A$9:$D$310,4,FALSE)*$C$311,0)</f>
        <v>255910</v>
      </c>
      <c r="D228" s="240">
        <f>ROUND(VLOOKUP(A228,'Contribution Allocation_Report'!$A$9:$D$310,4,FALSE)*$D$311,0)</f>
        <v>203673</v>
      </c>
      <c r="E228" s="240">
        <f>ROUND(VLOOKUP(A228,'Contribution Allocation_Report'!$A$9:$D$310,4,FALSE)*$E$311,0)</f>
        <v>163038</v>
      </c>
      <c r="F228" s="8"/>
    </row>
    <row r="229" spans="1:6">
      <c r="A229" s="218">
        <v>3270</v>
      </c>
      <c r="B229" s="219" t="s">
        <v>219</v>
      </c>
      <c r="C229" s="239">
        <f>ROUND(VLOOKUP(A229,'Contribution Allocation_Report'!$A$9:$D$310,4,FALSE)*$C$311,0)</f>
        <v>3584806</v>
      </c>
      <c r="D229" s="239">
        <f>ROUND(VLOOKUP(A229,'Contribution Allocation_Report'!$A$9:$D$310,4,FALSE)*$D$311,0)</f>
        <v>2853062</v>
      </c>
      <c r="E229" s="239">
        <f>ROUND(VLOOKUP(A229,'Contribution Allocation_Report'!$A$9:$D$310,4,FALSE)*$E$311,0)</f>
        <v>2283846</v>
      </c>
      <c r="F229" s="8"/>
    </row>
    <row r="230" spans="1:6">
      <c r="A230" s="220">
        <v>29303</v>
      </c>
      <c r="B230" s="221" t="s">
        <v>220</v>
      </c>
      <c r="C230" s="240">
        <f>ROUND(VLOOKUP(A230,'Contribution Allocation_Report'!$A$9:$D$310,4,FALSE)*$C$311,0)</f>
        <v>848348</v>
      </c>
      <c r="D230" s="240">
        <f>ROUND(VLOOKUP(A230,'Contribution Allocation_Report'!$A$9:$D$310,4,FALSE)*$D$311,0)</f>
        <v>675180</v>
      </c>
      <c r="E230" s="240">
        <f>ROUND(VLOOKUP(A230,'Contribution Allocation_Report'!$A$9:$D$310,4,FALSE)*$E$311,0)</f>
        <v>540474</v>
      </c>
      <c r="F230" s="8"/>
    </row>
    <row r="231" spans="1:6">
      <c r="A231" s="218">
        <v>3280</v>
      </c>
      <c r="B231" s="219" t="s">
        <v>221</v>
      </c>
      <c r="C231" s="239">
        <f>ROUND(VLOOKUP(A231,'Contribution Allocation_Report'!$A$9:$D$310,4,FALSE)*$C$311,0)</f>
        <v>17635047</v>
      </c>
      <c r="D231" s="239">
        <f>ROUND(VLOOKUP(A231,'Contribution Allocation_Report'!$A$9:$D$310,4,FALSE)*$D$311,0)</f>
        <v>14035316</v>
      </c>
      <c r="E231" s="239">
        <f>ROUND(VLOOKUP(A231,'Contribution Allocation_Report'!$A$9:$D$310,4,FALSE)*$E$311,0)</f>
        <v>11235121</v>
      </c>
      <c r="F231" s="8"/>
    </row>
    <row r="232" spans="1:6">
      <c r="A232" s="220">
        <v>4260</v>
      </c>
      <c r="B232" s="221" t="s">
        <v>222</v>
      </c>
      <c r="C232" s="240">
        <f>ROUND(VLOOKUP(A232,'Contribution Allocation_Report'!$A$9:$D$310,4,FALSE)*$C$311,0)</f>
        <v>1294433</v>
      </c>
      <c r="D232" s="240">
        <f>ROUND(VLOOKUP(A232,'Contribution Allocation_Report'!$A$9:$D$310,4,FALSE)*$D$311,0)</f>
        <v>1030209</v>
      </c>
      <c r="E232" s="240">
        <f>ROUND(VLOOKUP(A232,'Contribution Allocation_Report'!$A$9:$D$310,4,FALSE)*$E$311,0)</f>
        <v>824671</v>
      </c>
      <c r="F232" s="8"/>
    </row>
    <row r="233" spans="1:6">
      <c r="A233" s="218">
        <v>1003</v>
      </c>
      <c r="B233" s="219" t="s">
        <v>223</v>
      </c>
      <c r="C233" s="239">
        <f>ROUND(VLOOKUP(A233,'Contribution Allocation_Report'!$A$9:$D$310,4,FALSE)*$C$311,0)</f>
        <v>18081545</v>
      </c>
      <c r="D233" s="239">
        <f>ROUND(VLOOKUP(A233,'Contribution Allocation_Report'!$A$9:$D$310,4,FALSE)*$D$311,0)</f>
        <v>14390674</v>
      </c>
      <c r="E233" s="239">
        <f>ROUND(VLOOKUP(A233,'Contribution Allocation_Report'!$A$9:$D$310,4,FALSE)*$E$311,0)</f>
        <v>11519581</v>
      </c>
      <c r="F233" s="8"/>
    </row>
    <row r="234" spans="1:6">
      <c r="A234" s="220">
        <v>3290</v>
      </c>
      <c r="B234" s="221" t="s">
        <v>224</v>
      </c>
      <c r="C234" s="240">
        <f>ROUND(VLOOKUP(A234,'Contribution Allocation_Report'!$A$9:$D$310,4,FALSE)*$C$311,0)</f>
        <v>38486951</v>
      </c>
      <c r="D234" s="240">
        <f>ROUND(VLOOKUP(A234,'Contribution Allocation_Report'!$A$9:$D$310,4,FALSE)*$D$311,0)</f>
        <v>30630853</v>
      </c>
      <c r="E234" s="240">
        <f>ROUND(VLOOKUP(A234,'Contribution Allocation_Report'!$A$9:$D$310,4,FALSE)*$E$311,0)</f>
        <v>24519671</v>
      </c>
      <c r="F234" s="8"/>
    </row>
    <row r="235" spans="1:6">
      <c r="A235" s="218">
        <v>1002</v>
      </c>
      <c r="B235" s="219" t="s">
        <v>225</v>
      </c>
      <c r="C235" s="239">
        <f>ROUND(VLOOKUP(A235,'Contribution Allocation_Report'!$A$9:$D$310,4,FALSE)*$C$311,0)</f>
        <v>72057455</v>
      </c>
      <c r="D235" s="239">
        <f>ROUND(VLOOKUP(A235,'Contribution Allocation_Report'!$A$9:$D$310,4,FALSE)*$D$311,0)</f>
        <v>57348823</v>
      </c>
      <c r="E235" s="239">
        <f>ROUND(VLOOKUP(A235,'Contribution Allocation_Report'!$A$9:$D$310,4,FALSE)*$E$311,0)</f>
        <v>45907121</v>
      </c>
      <c r="F235" s="8"/>
    </row>
    <row r="236" spans="1:6" s="215" customFormat="1">
      <c r="A236" s="220">
        <v>4270</v>
      </c>
      <c r="B236" s="221" t="s">
        <v>449</v>
      </c>
      <c r="C236" s="240">
        <f>ROUND(VLOOKUP(A236,'Contribution Allocation_Report'!$A$9:$D$310,4,FALSE)*$C$311,0)</f>
        <v>1564399</v>
      </c>
      <c r="D236" s="240">
        <f>ROUND(VLOOKUP(A236,'Contribution Allocation_Report'!$A$9:$D$310,4,FALSE)*$D$311,0)</f>
        <v>1245068</v>
      </c>
      <c r="E236" s="240">
        <f>ROUND(VLOOKUP(A236,'Contribution Allocation_Report'!$A$9:$D$310,4,FALSE)*$E$311,0)</f>
        <v>996664</v>
      </c>
      <c r="F236" s="217"/>
    </row>
    <row r="237" spans="1:6">
      <c r="A237" s="218">
        <v>24072</v>
      </c>
      <c r="B237" s="219" t="s">
        <v>226</v>
      </c>
      <c r="C237" s="239">
        <f>ROUND(VLOOKUP(A237,'Contribution Allocation_Report'!$A$9:$D$310,4,FALSE)*$C$311,0)</f>
        <v>5115718</v>
      </c>
      <c r="D237" s="239">
        <f>ROUND(VLOOKUP(A237,'Contribution Allocation_Report'!$A$9:$D$310,4,FALSE)*$D$311,0)</f>
        <v>4071479</v>
      </c>
      <c r="E237" s="239">
        <f>ROUND(VLOOKUP(A237,'Contribution Allocation_Report'!$A$9:$D$310,4,FALSE)*$E$311,0)</f>
        <v>3259175</v>
      </c>
      <c r="F237" s="8"/>
    </row>
    <row r="238" spans="1:6">
      <c r="A238" s="220">
        <v>14366</v>
      </c>
      <c r="B238" s="221" t="s">
        <v>227</v>
      </c>
      <c r="C238" s="240">
        <f>ROUND(VLOOKUP(A238,'Contribution Allocation_Report'!$A$9:$D$310,4,FALSE)*$C$311,0)</f>
        <v>2331716</v>
      </c>
      <c r="D238" s="240">
        <f>ROUND(VLOOKUP(A238,'Contribution Allocation_Report'!$A$9:$D$310,4,FALSE)*$D$311,0)</f>
        <v>1855757</v>
      </c>
      <c r="E238" s="240">
        <f>ROUND(VLOOKUP(A238,'Contribution Allocation_Report'!$A$9:$D$310,4,FALSE)*$E$311,0)</f>
        <v>1485514</v>
      </c>
      <c r="F238" s="8"/>
    </row>
    <row r="239" spans="1:6">
      <c r="A239" s="218">
        <v>4317</v>
      </c>
      <c r="B239" s="219" t="s">
        <v>228</v>
      </c>
      <c r="C239" s="239">
        <f>ROUND(VLOOKUP(A239,'Contribution Allocation_Report'!$A$9:$D$310,4,FALSE)*$C$311,0)</f>
        <v>881008</v>
      </c>
      <c r="D239" s="239">
        <f>ROUND(VLOOKUP(A239,'Contribution Allocation_Report'!$A$9:$D$310,4,FALSE)*$D$311,0)</f>
        <v>701174</v>
      </c>
      <c r="E239" s="239">
        <f>ROUND(VLOOKUP(A239,'Contribution Allocation_Report'!$A$9:$D$310,4,FALSE)*$E$311,0)</f>
        <v>561282</v>
      </c>
      <c r="F239" s="8"/>
    </row>
    <row r="240" spans="1:6">
      <c r="A240" s="220">
        <v>32120</v>
      </c>
      <c r="B240" s="221" t="s">
        <v>229</v>
      </c>
      <c r="C240" s="240">
        <f>ROUND(VLOOKUP(A240,'Contribution Allocation_Report'!$A$9:$D$310,4,FALSE)*$C$311,0)</f>
        <v>1030255</v>
      </c>
      <c r="D240" s="240">
        <f>ROUND(VLOOKUP(A240,'Contribution Allocation_Report'!$A$9:$D$310,4,FALSE)*$D$311,0)</f>
        <v>819955</v>
      </c>
      <c r="E240" s="240">
        <f>ROUND(VLOOKUP(A240,'Contribution Allocation_Report'!$A$9:$D$310,4,FALSE)*$E$311,0)</f>
        <v>656365</v>
      </c>
      <c r="F240" s="8"/>
    </row>
    <row r="241" spans="1:6">
      <c r="A241" s="218">
        <v>3300</v>
      </c>
      <c r="B241" s="219" t="s">
        <v>230</v>
      </c>
      <c r="C241" s="239">
        <f>ROUND(VLOOKUP(A241,'Contribution Allocation_Report'!$A$9:$D$310,4,FALSE)*$C$311,0)</f>
        <v>2491298</v>
      </c>
      <c r="D241" s="239">
        <f>ROUND(VLOOKUP(A241,'Contribution Allocation_Report'!$A$9:$D$310,4,FALSE)*$D$311,0)</f>
        <v>1982765</v>
      </c>
      <c r="E241" s="239">
        <f>ROUND(VLOOKUP(A241,'Contribution Allocation_Report'!$A$9:$D$310,4,FALSE)*$E$311,0)</f>
        <v>1587182</v>
      </c>
      <c r="F241" s="8"/>
    </row>
    <row r="242" spans="1:6">
      <c r="A242" s="220">
        <v>8026</v>
      </c>
      <c r="B242" s="221" t="s">
        <v>231</v>
      </c>
      <c r="C242" s="240">
        <f>ROUND(VLOOKUP(A242,'Contribution Allocation_Report'!$A$9:$D$310,4,FALSE)*$C$311,0)</f>
        <v>14033290</v>
      </c>
      <c r="D242" s="240">
        <f>ROUND(VLOOKUP(A242,'Contribution Allocation_Report'!$A$9:$D$310,4,FALSE)*$D$311,0)</f>
        <v>11168763</v>
      </c>
      <c r="E242" s="240">
        <f>ROUND(VLOOKUP(A242,'Contribution Allocation_Report'!$A$9:$D$310,4,FALSE)*$E$311,0)</f>
        <v>8940476</v>
      </c>
      <c r="F242" s="8"/>
    </row>
    <row r="243" spans="1:6">
      <c r="A243" s="218">
        <v>32119</v>
      </c>
      <c r="B243" s="219" t="s">
        <v>232</v>
      </c>
      <c r="C243" s="239">
        <f>ROUND(VLOOKUP(A243,'Contribution Allocation_Report'!$A$9:$D$310,4,FALSE)*$C$311,0)</f>
        <v>475438</v>
      </c>
      <c r="D243" s="239">
        <f>ROUND(VLOOKUP(A243,'Contribution Allocation_Report'!$A$9:$D$310,4,FALSE)*$D$311,0)</f>
        <v>378390</v>
      </c>
      <c r="E243" s="239">
        <f>ROUND(VLOOKUP(A243,'Contribution Allocation_Report'!$A$9:$D$310,4,FALSE)*$E$311,0)</f>
        <v>302897</v>
      </c>
      <c r="F243" s="8"/>
    </row>
    <row r="244" spans="1:6">
      <c r="A244" s="220">
        <v>25076</v>
      </c>
      <c r="B244" s="221" t="s">
        <v>233</v>
      </c>
      <c r="C244" s="240">
        <f>ROUND(VLOOKUP(A244,'Contribution Allocation_Report'!$A$9:$D$310,4,FALSE)*$C$311,0)</f>
        <v>8477688</v>
      </c>
      <c r="D244" s="240">
        <f>ROUND(VLOOKUP(A244,'Contribution Allocation_Report'!$A$9:$D$310,4,FALSE)*$D$311,0)</f>
        <v>6747191</v>
      </c>
      <c r="E244" s="240">
        <f>ROUND(VLOOKUP(A244,'Contribution Allocation_Report'!$A$9:$D$310,4,FALSE)*$E$311,0)</f>
        <v>5401055</v>
      </c>
      <c r="F244" s="8"/>
    </row>
    <row r="245" spans="1:6">
      <c r="A245" s="218">
        <v>2440</v>
      </c>
      <c r="B245" s="219" t="s">
        <v>414</v>
      </c>
      <c r="C245" s="239">
        <f>ROUND(VLOOKUP(A245,'Contribution Allocation_Report'!$A$9:$D$310,4,FALSE)*$C$311,0)</f>
        <v>828503</v>
      </c>
      <c r="D245" s="239">
        <f>ROUND(VLOOKUP(A245,'Contribution Allocation_Report'!$A$9:$D$310,4,FALSE)*$D$311,0)</f>
        <v>659386</v>
      </c>
      <c r="E245" s="239">
        <f>ROUND(VLOOKUP(A245,'Contribution Allocation_Report'!$A$9:$D$310,4,FALSE)*$E$311,0)</f>
        <v>527832</v>
      </c>
      <c r="F245" s="8"/>
    </row>
    <row r="246" spans="1:6">
      <c r="A246" s="220">
        <v>2309</v>
      </c>
      <c r="B246" s="221" t="s">
        <v>234</v>
      </c>
      <c r="C246" s="240">
        <f>ROUND(VLOOKUP(A246,'Contribution Allocation_Report'!$A$9:$D$310,4,FALSE)*$C$311,0)</f>
        <v>3613332</v>
      </c>
      <c r="D246" s="240">
        <f>ROUND(VLOOKUP(A246,'Contribution Allocation_Report'!$A$9:$D$310,4,FALSE)*$D$311,0)</f>
        <v>2875766</v>
      </c>
      <c r="E246" s="240">
        <f>ROUND(VLOOKUP(A246,'Contribution Allocation_Report'!$A$9:$D$310,4,FALSE)*$E$311,0)</f>
        <v>2302020</v>
      </c>
      <c r="F246" s="8"/>
    </row>
    <row r="247" spans="1:6">
      <c r="A247" s="218">
        <v>2396</v>
      </c>
      <c r="B247" s="219" t="s">
        <v>235</v>
      </c>
      <c r="C247" s="239">
        <f>ROUND(VLOOKUP(A247,'Contribution Allocation_Report'!$A$9:$D$310,4,FALSE)*$C$311,0)</f>
        <v>959559</v>
      </c>
      <c r="D247" s="239">
        <f>ROUND(VLOOKUP(A247,'Contribution Allocation_Report'!$A$9:$D$310,4,FALSE)*$D$311,0)</f>
        <v>763690</v>
      </c>
      <c r="E247" s="239">
        <f>ROUND(VLOOKUP(A247,'Contribution Allocation_Report'!$A$9:$D$310,4,FALSE)*$E$311,0)</f>
        <v>611326</v>
      </c>
      <c r="F247" s="8"/>
    </row>
    <row r="248" spans="1:6">
      <c r="A248" s="220">
        <v>3380</v>
      </c>
      <c r="B248" s="221" t="s">
        <v>236</v>
      </c>
      <c r="C248" s="240">
        <f>ROUND(VLOOKUP(A248,'Contribution Allocation_Report'!$A$9:$D$310,4,FALSE)*$C$311,0)</f>
        <v>774758</v>
      </c>
      <c r="D248" s="240">
        <f>ROUND(VLOOKUP(A248,'Contribution Allocation_Report'!$A$9:$D$310,4,FALSE)*$D$311,0)</f>
        <v>616612</v>
      </c>
      <c r="E248" s="240">
        <f>ROUND(VLOOKUP(A248,'Contribution Allocation_Report'!$A$9:$D$310,4,FALSE)*$E$311,0)</f>
        <v>493591</v>
      </c>
      <c r="F248" s="8"/>
    </row>
    <row r="249" spans="1:6">
      <c r="A249" s="218">
        <v>2420</v>
      </c>
      <c r="B249" s="219" t="s">
        <v>237</v>
      </c>
      <c r="C249" s="239">
        <f>ROUND(VLOOKUP(A249,'Contribution Allocation_Report'!$A$9:$D$310,4,FALSE)*$C$311,0)</f>
        <v>1070357</v>
      </c>
      <c r="D249" s="239">
        <f>ROUND(VLOOKUP(A249,'Contribution Allocation_Report'!$A$9:$D$310,4,FALSE)*$D$311,0)</f>
        <v>851872</v>
      </c>
      <c r="E249" s="239">
        <f>ROUND(VLOOKUP(A249,'Contribution Allocation_Report'!$A$9:$D$310,4,FALSE)*$E$311,0)</f>
        <v>681914</v>
      </c>
      <c r="F249" s="8"/>
    </row>
    <row r="250" spans="1:6">
      <c r="A250" s="220">
        <v>2740</v>
      </c>
      <c r="B250" s="221" t="s">
        <v>238</v>
      </c>
      <c r="C250" s="240">
        <f>ROUND(VLOOKUP(A250,'Contribution Allocation_Report'!$A$9:$D$310,4,FALSE)*$C$311,0)</f>
        <v>177773</v>
      </c>
      <c r="D250" s="240">
        <f>ROUND(VLOOKUP(A250,'Contribution Allocation_Report'!$A$9:$D$310,4,FALSE)*$D$311,0)</f>
        <v>141485</v>
      </c>
      <c r="E250" s="240">
        <f>ROUND(VLOOKUP(A250,'Contribution Allocation_Report'!$A$9:$D$310,4,FALSE)*$E$311,0)</f>
        <v>113257</v>
      </c>
      <c r="F250" s="8"/>
    </row>
    <row r="251" spans="1:6">
      <c r="A251" s="218">
        <v>2346</v>
      </c>
      <c r="B251" s="219" t="s">
        <v>239</v>
      </c>
      <c r="C251" s="239">
        <f>ROUND(VLOOKUP(A251,'Contribution Allocation_Report'!$A$9:$D$310,4,FALSE)*$C$311,0)</f>
        <v>762769</v>
      </c>
      <c r="D251" s="239">
        <f>ROUND(VLOOKUP(A251,'Contribution Allocation_Report'!$A$9:$D$310,4,FALSE)*$D$311,0)</f>
        <v>607070</v>
      </c>
      <c r="E251" s="239">
        <f>ROUND(VLOOKUP(A251,'Contribution Allocation_Report'!$A$9:$D$310,4,FALSE)*$E$311,0)</f>
        <v>485953</v>
      </c>
      <c r="F251" s="8"/>
    </row>
    <row r="252" spans="1:6">
      <c r="A252" s="220">
        <v>21150</v>
      </c>
      <c r="B252" s="221" t="s">
        <v>240</v>
      </c>
      <c r="C252" s="240">
        <f>ROUND(VLOOKUP(A252,'Contribution Allocation_Report'!$A$9:$D$310,4,FALSE)*$C$311,0)</f>
        <v>1900100</v>
      </c>
      <c r="D252" s="240">
        <f>ROUND(VLOOKUP(A252,'Contribution Allocation_Report'!$A$9:$D$310,4,FALSE)*$D$311,0)</f>
        <v>1512245</v>
      </c>
      <c r="E252" s="240">
        <f>ROUND(VLOOKUP(A252,'Contribution Allocation_Report'!$A$9:$D$310,4,FALSE)*$E$311,0)</f>
        <v>1210536</v>
      </c>
      <c r="F252" s="8"/>
    </row>
    <row r="253" spans="1:6">
      <c r="A253" s="218">
        <v>32098</v>
      </c>
      <c r="B253" s="219" t="s">
        <v>241</v>
      </c>
      <c r="C253" s="239">
        <f>ROUND(VLOOKUP(A253,'Contribution Allocation_Report'!$A$9:$D$310,4,FALSE)*$C$311,0)</f>
        <v>938888</v>
      </c>
      <c r="D253" s="239">
        <f>ROUND(VLOOKUP(A253,'Contribution Allocation_Report'!$A$9:$D$310,4,FALSE)*$D$311,0)</f>
        <v>747238</v>
      </c>
      <c r="E253" s="239">
        <f>ROUND(VLOOKUP(A253,'Contribution Allocation_Report'!$A$9:$D$310,4,FALSE)*$E$311,0)</f>
        <v>598156</v>
      </c>
      <c r="F253" s="8"/>
    </row>
    <row r="254" spans="1:6">
      <c r="A254" s="220">
        <v>4520</v>
      </c>
      <c r="B254" s="221" t="s">
        <v>242</v>
      </c>
      <c r="C254" s="240">
        <f>ROUND(VLOOKUP(A254,'Contribution Allocation_Report'!$A$9:$D$310,4,FALSE)*$C$311,0)</f>
        <v>126508</v>
      </c>
      <c r="D254" s="240">
        <f>ROUND(VLOOKUP(A254,'Contribution Allocation_Report'!$A$9:$D$310,4,FALSE)*$D$311,0)</f>
        <v>100685</v>
      </c>
      <c r="E254" s="240">
        <f>ROUND(VLOOKUP(A254,'Contribution Allocation_Report'!$A$9:$D$310,4,FALSE)*$E$311,0)</f>
        <v>80597</v>
      </c>
      <c r="F254" s="8"/>
    </row>
    <row r="255" spans="1:6">
      <c r="A255" s="218">
        <v>9030</v>
      </c>
      <c r="B255" s="219" t="s">
        <v>243</v>
      </c>
      <c r="C255" s="239">
        <f>ROUND(VLOOKUP(A255,'Contribution Allocation_Report'!$A$9:$D$310,4,FALSE)*$C$311,0)</f>
        <v>1212988</v>
      </c>
      <c r="D255" s="239">
        <f>ROUND(VLOOKUP(A255,'Contribution Allocation_Report'!$A$9:$D$310,4,FALSE)*$D$311,0)</f>
        <v>965389</v>
      </c>
      <c r="E255" s="239">
        <f>ROUND(VLOOKUP(A255,'Contribution Allocation_Report'!$A$9:$D$310,4,FALSE)*$E$311,0)</f>
        <v>772783</v>
      </c>
      <c r="F255" s="8"/>
    </row>
    <row r="256" spans="1:6">
      <c r="A256" s="220">
        <v>20265</v>
      </c>
      <c r="B256" s="221" t="s">
        <v>244</v>
      </c>
      <c r="C256" s="240">
        <f>ROUND(VLOOKUP(A256,'Contribution Allocation_Report'!$A$9:$D$310,4,FALSE)*$C$311,0)</f>
        <v>1141052</v>
      </c>
      <c r="D256" s="240">
        <f>ROUND(VLOOKUP(A256,'Contribution Allocation_Report'!$A$9:$D$310,4,FALSE)*$D$311,0)</f>
        <v>908137</v>
      </c>
      <c r="E256" s="240">
        <f>ROUND(VLOOKUP(A256,'Contribution Allocation_Report'!$A$9:$D$310,4,FALSE)*$E$311,0)</f>
        <v>726954</v>
      </c>
      <c r="F256" s="8"/>
    </row>
    <row r="257" spans="1:6">
      <c r="A257" s="218">
        <v>20307</v>
      </c>
      <c r="B257" s="219" t="s">
        <v>245</v>
      </c>
      <c r="C257" s="239">
        <f>ROUND(VLOOKUP(A257,'Contribution Allocation_Report'!$A$9:$D$310,4,FALSE)*$C$311,0)</f>
        <v>1116247</v>
      </c>
      <c r="D257" s="239">
        <f>ROUND(VLOOKUP(A257,'Contribution Allocation_Report'!$A$9:$D$310,4,FALSE)*$D$311,0)</f>
        <v>888394</v>
      </c>
      <c r="E257" s="239">
        <f>ROUND(VLOOKUP(A257,'Contribution Allocation_Report'!$A$9:$D$310,4,FALSE)*$E$311,0)</f>
        <v>711150</v>
      </c>
      <c r="F257" s="8"/>
    </row>
    <row r="258" spans="1:6">
      <c r="A258" s="220">
        <v>3320</v>
      </c>
      <c r="B258" s="221" t="s">
        <v>246</v>
      </c>
      <c r="C258" s="240">
        <f>ROUND(VLOOKUP(A258,'Contribution Allocation_Report'!$A$9:$D$310,4,FALSE)*$C$311,0)</f>
        <v>8283379</v>
      </c>
      <c r="D258" s="240">
        <f>ROUND(VLOOKUP(A258,'Contribution Allocation_Report'!$A$9:$D$310,4,FALSE)*$D$311,0)</f>
        <v>6592545</v>
      </c>
      <c r="E258" s="240">
        <f>ROUND(VLOOKUP(A258,'Contribution Allocation_Report'!$A$9:$D$310,4,FALSE)*$E$311,0)</f>
        <v>5277262</v>
      </c>
      <c r="F258" s="8"/>
    </row>
    <row r="259" spans="1:6">
      <c r="A259" s="218">
        <v>20415</v>
      </c>
      <c r="B259" s="219" t="s">
        <v>247</v>
      </c>
      <c r="C259" s="239">
        <f>ROUND(VLOOKUP(A259,'Contribution Allocation_Report'!$A$9:$D$310,4,FALSE)*$C$311,0)</f>
        <v>772691</v>
      </c>
      <c r="D259" s="239">
        <f>ROUND(VLOOKUP(A259,'Contribution Allocation_Report'!$A$9:$D$310,4,FALSE)*$D$311,0)</f>
        <v>614966</v>
      </c>
      <c r="E259" s="239">
        <f>ROUND(VLOOKUP(A259,'Contribution Allocation_Report'!$A$9:$D$310,4,FALSE)*$E$311,0)</f>
        <v>492274</v>
      </c>
      <c r="F259" s="8"/>
    </row>
    <row r="260" spans="1:6">
      <c r="A260" s="220">
        <v>20435</v>
      </c>
      <c r="B260" s="221" t="s">
        <v>441</v>
      </c>
      <c r="C260" s="240">
        <f>ROUND(VLOOKUP(A260,'Contribution Allocation_Report'!$A$9:$D$310,4,FALSE)*$C$311,0)</f>
        <v>944262</v>
      </c>
      <c r="D260" s="240">
        <f>ROUND(VLOOKUP(A260,'Contribution Allocation_Report'!$A$9:$D$310,4,FALSE)*$D$311,0)</f>
        <v>751516</v>
      </c>
      <c r="E260" s="240">
        <f>ROUND(VLOOKUP(A260,'Contribution Allocation_Report'!$A$9:$D$310,4,FALSE)*$E$311,0)</f>
        <v>601580</v>
      </c>
      <c r="F260" s="8"/>
    </row>
    <row r="261" spans="1:6">
      <c r="A261" s="218">
        <v>20062</v>
      </c>
      <c r="B261" s="219" t="s">
        <v>248</v>
      </c>
      <c r="C261" s="239">
        <f>ROUND(VLOOKUP(A261,'Contribution Allocation_Report'!$A$9:$D$310,4,FALSE)*$C$311,0)</f>
        <v>12968308</v>
      </c>
      <c r="D261" s="239">
        <f>ROUND(VLOOKUP(A261,'Contribution Allocation_Report'!$A$9:$D$310,4,FALSE)*$D$311,0)</f>
        <v>10321169</v>
      </c>
      <c r="E261" s="239">
        <f>ROUND(VLOOKUP(A261,'Contribution Allocation_Report'!$A$9:$D$310,4,FALSE)*$E$311,0)</f>
        <v>8261986</v>
      </c>
      <c r="F261" s="8"/>
    </row>
    <row r="262" spans="1:6">
      <c r="A262" s="220">
        <v>6020</v>
      </c>
      <c r="B262" s="221" t="s">
        <v>249</v>
      </c>
      <c r="C262" s="240">
        <f>ROUND(VLOOKUP(A262,'Contribution Allocation_Report'!$A$9:$D$310,4,FALSE)*$C$311,0)</f>
        <v>2454916</v>
      </c>
      <c r="D262" s="240">
        <f>ROUND(VLOOKUP(A262,'Contribution Allocation_Report'!$A$9:$D$310,4,FALSE)*$D$311,0)</f>
        <v>1953810</v>
      </c>
      <c r="E262" s="240">
        <f>ROUND(VLOOKUP(A262,'Contribution Allocation_Report'!$A$9:$D$310,4,FALSE)*$E$311,0)</f>
        <v>1564004</v>
      </c>
      <c r="F262" s="8"/>
    </row>
    <row r="263" spans="1:6">
      <c r="A263" s="218">
        <v>2394</v>
      </c>
      <c r="B263" s="219" t="s">
        <v>250</v>
      </c>
      <c r="C263" s="239">
        <f>ROUND(VLOOKUP(A263,'Contribution Allocation_Report'!$A$9:$D$310,4,FALSE)*$C$311,0)</f>
        <v>1286164</v>
      </c>
      <c r="D263" s="239">
        <f>ROUND(VLOOKUP(A263,'Contribution Allocation_Report'!$A$9:$D$310,4,FALSE)*$D$311,0)</f>
        <v>1023628</v>
      </c>
      <c r="E263" s="239">
        <f>ROUND(VLOOKUP(A263,'Contribution Allocation_Report'!$A$9:$D$310,4,FALSE)*$E$311,0)</f>
        <v>819403</v>
      </c>
      <c r="F263" s="8"/>
    </row>
    <row r="264" spans="1:6">
      <c r="A264" s="220">
        <v>5015</v>
      </c>
      <c r="B264" s="221" t="s">
        <v>251</v>
      </c>
      <c r="C264" s="240">
        <f>ROUND(VLOOKUP(A264,'Contribution Allocation_Report'!$A$9:$D$310,4,FALSE)*$C$311,0)</f>
        <v>3492612</v>
      </c>
      <c r="D264" s="240">
        <f>ROUND(VLOOKUP(A264,'Contribution Allocation_Report'!$A$9:$D$310,4,FALSE)*$D$311,0)</f>
        <v>2779688</v>
      </c>
      <c r="E264" s="240">
        <f>ROUND(VLOOKUP(A264,'Contribution Allocation_Report'!$A$9:$D$310,4,FALSE)*$E$311,0)</f>
        <v>2225110</v>
      </c>
      <c r="F264" s="8"/>
    </row>
    <row r="265" spans="1:6">
      <c r="A265" s="218">
        <v>29408</v>
      </c>
      <c r="B265" s="219" t="s">
        <v>252</v>
      </c>
      <c r="C265" s="239">
        <f>ROUND(VLOOKUP(A265,'Contribution Allocation_Report'!$A$9:$D$310,4,FALSE)*$C$311,0)</f>
        <v>2324687</v>
      </c>
      <c r="D265" s="239">
        <f>ROUND(VLOOKUP(A265,'Contribution Allocation_Report'!$A$9:$D$310,4,FALSE)*$D$311,0)</f>
        <v>1850164</v>
      </c>
      <c r="E265" s="239">
        <f>ROUND(VLOOKUP(A265,'Contribution Allocation_Report'!$A$9:$D$310,4,FALSE)*$E$311,0)</f>
        <v>1481036</v>
      </c>
      <c r="F265" s="8"/>
    </row>
    <row r="266" spans="1:6">
      <c r="A266" s="220">
        <v>2413</v>
      </c>
      <c r="B266" s="221" t="s">
        <v>253</v>
      </c>
      <c r="C266" s="240">
        <f>ROUND(VLOOKUP(A266,'Contribution Allocation_Report'!$A$9:$D$310,4,FALSE)*$C$311,0)</f>
        <v>598226</v>
      </c>
      <c r="D266" s="240">
        <f>ROUND(VLOOKUP(A266,'Contribution Allocation_Report'!$A$9:$D$310,4,FALSE)*$D$311,0)</f>
        <v>476114</v>
      </c>
      <c r="E266" s="240">
        <f>ROUND(VLOOKUP(A266,'Contribution Allocation_Report'!$A$9:$D$310,4,FALSE)*$E$311,0)</f>
        <v>381124</v>
      </c>
      <c r="F266" s="8"/>
    </row>
    <row r="267" spans="1:6">
      <c r="A267" s="218">
        <v>1398</v>
      </c>
      <c r="B267" s="219" t="s">
        <v>254</v>
      </c>
      <c r="C267" s="239">
        <f>ROUND(VLOOKUP(A267,'Contribution Allocation_Report'!$A$9:$D$310,4,FALSE)*$C$311,0)</f>
        <v>1077798</v>
      </c>
      <c r="D267" s="239">
        <f>ROUND(VLOOKUP(A267,'Contribution Allocation_Report'!$A$9:$D$310,4,FALSE)*$D$311,0)</f>
        <v>857794</v>
      </c>
      <c r="E267" s="239">
        <f>ROUND(VLOOKUP(A267,'Contribution Allocation_Report'!$A$9:$D$310,4,FALSE)*$E$311,0)</f>
        <v>686655</v>
      </c>
      <c r="F267" s="8"/>
    </row>
    <row r="268" spans="1:6">
      <c r="A268" s="220">
        <v>2366</v>
      </c>
      <c r="B268" s="221" t="s">
        <v>255</v>
      </c>
      <c r="C268" s="240">
        <f>ROUND(VLOOKUP(A268,'Contribution Allocation_Report'!$A$9:$D$310,4,FALSE)*$C$311,0)</f>
        <v>1134438</v>
      </c>
      <c r="D268" s="240">
        <f>ROUND(VLOOKUP(A268,'Contribution Allocation_Report'!$A$9:$D$310,4,FALSE)*$D$311,0)</f>
        <v>902872</v>
      </c>
      <c r="E268" s="240">
        <f>ROUND(VLOOKUP(A268,'Contribution Allocation_Report'!$A$9:$D$310,4,FALSE)*$E$311,0)</f>
        <v>722739</v>
      </c>
      <c r="F268" s="8"/>
    </row>
    <row r="269" spans="1:6">
      <c r="A269" s="218">
        <v>7421</v>
      </c>
      <c r="B269" s="219" t="s">
        <v>256</v>
      </c>
      <c r="C269" s="239">
        <f>ROUND(VLOOKUP(A269,'Contribution Allocation_Report'!$A$9:$D$310,4,FALSE)*$C$311,0)</f>
        <v>875220</v>
      </c>
      <c r="D269" s="239">
        <f>ROUND(VLOOKUP(A269,'Contribution Allocation_Report'!$A$9:$D$310,4,FALSE)*$D$311,0)</f>
        <v>696567</v>
      </c>
      <c r="E269" s="239">
        <f>ROUND(VLOOKUP(A269,'Contribution Allocation_Report'!$A$9:$D$310,4,FALSE)*$E$311,0)</f>
        <v>557594</v>
      </c>
      <c r="F269" s="8"/>
    </row>
    <row r="270" spans="1:6">
      <c r="A270" s="220">
        <v>2370</v>
      </c>
      <c r="B270" s="221" t="s">
        <v>257</v>
      </c>
      <c r="C270" s="240">
        <f>ROUND(VLOOKUP(A270,'Contribution Allocation_Report'!$A$9:$D$310,4,FALSE)*$C$311,0)</f>
        <v>1659487</v>
      </c>
      <c r="D270" s="240">
        <f>ROUND(VLOOKUP(A270,'Contribution Allocation_Report'!$A$9:$D$310,4,FALSE)*$D$311,0)</f>
        <v>1320746</v>
      </c>
      <c r="E270" s="240">
        <f>ROUND(VLOOKUP(A270,'Contribution Allocation_Report'!$A$9:$D$310,4,FALSE)*$E$311,0)</f>
        <v>1057243</v>
      </c>
      <c r="F270" s="8"/>
    </row>
    <row r="271" spans="1:6">
      <c r="A271" s="218">
        <v>32094</v>
      </c>
      <c r="B271" s="219" t="s">
        <v>258</v>
      </c>
      <c r="C271" s="239">
        <f>ROUND(VLOOKUP(A271,'Contribution Allocation_Report'!$A$9:$D$310,4,FALSE)*$C$311,0)</f>
        <v>1691321</v>
      </c>
      <c r="D271" s="239">
        <f>ROUND(VLOOKUP(A271,'Contribution Allocation_Report'!$A$9:$D$310,4,FALSE)*$D$311,0)</f>
        <v>1346082</v>
      </c>
      <c r="E271" s="239">
        <f>ROUND(VLOOKUP(A271,'Contribution Allocation_Report'!$A$9:$D$310,4,FALSE)*$E$311,0)</f>
        <v>1077524</v>
      </c>
      <c r="F271" s="8"/>
    </row>
    <row r="272" spans="1:6">
      <c r="A272" s="220">
        <v>2790</v>
      </c>
      <c r="B272" s="221" t="s">
        <v>259</v>
      </c>
      <c r="C272" s="240">
        <f>ROUND(VLOOKUP(A272,'Contribution Allocation_Report'!$A$9:$D$310,4,FALSE)*$C$311,0)</f>
        <v>187281</v>
      </c>
      <c r="D272" s="240">
        <f>ROUND(VLOOKUP(A272,'Contribution Allocation_Report'!$A$9:$D$310,4,FALSE)*$D$311,0)</f>
        <v>149053</v>
      </c>
      <c r="E272" s="240">
        <f>ROUND(VLOOKUP(A272,'Contribution Allocation_Report'!$A$9:$D$310,4,FALSE)*$E$311,0)</f>
        <v>119315</v>
      </c>
      <c r="F272" s="8"/>
    </row>
    <row r="273" spans="1:6">
      <c r="A273" s="218">
        <v>3330</v>
      </c>
      <c r="B273" s="219" t="s">
        <v>260</v>
      </c>
      <c r="C273" s="239">
        <f>ROUND(VLOOKUP(A273,'Contribution Allocation_Report'!$A$9:$D$310,4,FALSE)*$C$311,0)</f>
        <v>3752657</v>
      </c>
      <c r="D273" s="239">
        <f>ROUND(VLOOKUP(A273,'Contribution Allocation_Report'!$A$9:$D$310,4,FALSE)*$D$311,0)</f>
        <v>2986651</v>
      </c>
      <c r="E273" s="239">
        <f>ROUND(VLOOKUP(A273,'Contribution Allocation_Report'!$A$9:$D$310,4,FALSE)*$E$311,0)</f>
        <v>2390782</v>
      </c>
      <c r="F273" s="8"/>
    </row>
    <row r="274" spans="1:6">
      <c r="A274" s="220">
        <v>2080</v>
      </c>
      <c r="B274" s="221" t="s">
        <v>261</v>
      </c>
      <c r="C274" s="240">
        <f>ROUND(VLOOKUP(A274,'Contribution Allocation_Report'!$A$9:$D$310,4,FALSE)*$C$311,0)</f>
        <v>4281840</v>
      </c>
      <c r="D274" s="240">
        <f>ROUND(VLOOKUP(A274,'Contribution Allocation_Report'!$A$9:$D$310,4,FALSE)*$D$311,0)</f>
        <v>3407815</v>
      </c>
      <c r="E274" s="240">
        <f>ROUND(VLOOKUP(A274,'Contribution Allocation_Report'!$A$9:$D$310,4,FALSE)*$E$311,0)</f>
        <v>2727920</v>
      </c>
      <c r="F274" s="8"/>
    </row>
    <row r="275" spans="1:6">
      <c r="A275" s="218">
        <v>4290</v>
      </c>
      <c r="B275" s="219" t="s">
        <v>262</v>
      </c>
      <c r="C275" s="239">
        <f>ROUND(VLOOKUP(A275,'Contribution Allocation_Report'!$A$9:$D$310,4,FALSE)*$C$311,0)</f>
        <v>1409365</v>
      </c>
      <c r="D275" s="239">
        <f>ROUND(VLOOKUP(A275,'Contribution Allocation_Report'!$A$9:$D$310,4,FALSE)*$D$311,0)</f>
        <v>1121680</v>
      </c>
      <c r="E275" s="239">
        <f>ROUND(VLOOKUP(A275,'Contribution Allocation_Report'!$A$9:$D$310,4,FALSE)*$E$311,0)</f>
        <v>897893</v>
      </c>
      <c r="F275" s="8"/>
    </row>
    <row r="276" spans="1:6">
      <c r="A276" s="220">
        <v>2270</v>
      </c>
      <c r="B276" s="221" t="s">
        <v>263</v>
      </c>
      <c r="C276" s="240">
        <f>ROUND(VLOOKUP(A276,'Contribution Allocation_Report'!$A$9:$D$310,4,FALSE)*$C$311,0)</f>
        <v>80204</v>
      </c>
      <c r="D276" s="240">
        <f>ROUND(VLOOKUP(A276,'Contribution Allocation_Report'!$A$9:$D$310,4,FALSE)*$D$311,0)</f>
        <v>63833</v>
      </c>
      <c r="E276" s="240">
        <f>ROUND(VLOOKUP(A276,'Contribution Allocation_Report'!$A$9:$D$310,4,FALSE)*$E$311,0)</f>
        <v>51097</v>
      </c>
      <c r="F276" s="8"/>
    </row>
    <row r="277" spans="1:6">
      <c r="A277" s="218">
        <v>2300</v>
      </c>
      <c r="B277" s="219" t="s">
        <v>264</v>
      </c>
      <c r="C277" s="239">
        <f>ROUND(VLOOKUP(A277,'Contribution Allocation_Report'!$A$9:$D$310,4,FALSE)*$C$311,0)</f>
        <v>378284</v>
      </c>
      <c r="D277" s="239">
        <f>ROUND(VLOOKUP(A277,'Contribution Allocation_Report'!$A$9:$D$310,4,FALSE)*$D$311,0)</f>
        <v>301067</v>
      </c>
      <c r="E277" s="239">
        <f>ROUND(VLOOKUP(A277,'Contribution Allocation_Report'!$A$9:$D$310,4,FALSE)*$E$311,0)</f>
        <v>241001</v>
      </c>
      <c r="F277" s="8"/>
    </row>
    <row r="278" spans="1:6">
      <c r="A278" s="220">
        <v>2720</v>
      </c>
      <c r="B278" s="221" t="s">
        <v>265</v>
      </c>
      <c r="C278" s="240">
        <f>ROUND(VLOOKUP(A278,'Contribution Allocation_Report'!$A$9:$D$310,4,FALSE)*$C$311,0)</f>
        <v>5576273</v>
      </c>
      <c r="D278" s="240">
        <f>ROUND(VLOOKUP(A278,'Contribution Allocation_Report'!$A$9:$D$310,4,FALSE)*$D$311,0)</f>
        <v>4438024</v>
      </c>
      <c r="E278" s="240">
        <f>ROUND(VLOOKUP(A278,'Contribution Allocation_Report'!$A$9:$D$310,4,FALSE)*$E$311,0)</f>
        <v>3552591</v>
      </c>
      <c r="F278" s="8"/>
    </row>
    <row r="279" spans="1:6">
      <c r="A279" s="218">
        <v>2750</v>
      </c>
      <c r="B279" s="219" t="s">
        <v>266</v>
      </c>
      <c r="C279" s="239">
        <f>ROUND(VLOOKUP(A279,'Contribution Allocation_Report'!$A$9:$D$310,4,FALSE)*$C$311,0)</f>
        <v>366708</v>
      </c>
      <c r="D279" s="239">
        <f>ROUND(VLOOKUP(A279,'Contribution Allocation_Report'!$A$9:$D$310,4,FALSE)*$D$311,0)</f>
        <v>291854</v>
      </c>
      <c r="E279" s="239">
        <f>ROUND(VLOOKUP(A279,'Contribution Allocation_Report'!$A$9:$D$310,4,FALSE)*$E$311,0)</f>
        <v>233626</v>
      </c>
      <c r="F279" s="8"/>
    </row>
    <row r="280" spans="1:6">
      <c r="A280" s="220">
        <v>2770</v>
      </c>
      <c r="B280" s="221" t="s">
        <v>267</v>
      </c>
      <c r="C280" s="240">
        <f>ROUND(VLOOKUP(A280,'Contribution Allocation_Report'!$A$9:$D$310,4,FALSE)*$C$311,0)</f>
        <v>4290936</v>
      </c>
      <c r="D280" s="240">
        <f>ROUND(VLOOKUP(A280,'Contribution Allocation_Report'!$A$9:$D$310,4,FALSE)*$D$311,0)</f>
        <v>3415054</v>
      </c>
      <c r="E280" s="240">
        <f>ROUND(VLOOKUP(A280,'Contribution Allocation_Report'!$A$9:$D$310,4,FALSE)*$E$311,0)</f>
        <v>2733714</v>
      </c>
      <c r="F280" s="8"/>
    </row>
    <row r="281" spans="1:6">
      <c r="A281" s="218">
        <v>32106</v>
      </c>
      <c r="B281" s="219" t="s">
        <v>268</v>
      </c>
      <c r="C281" s="239">
        <f>ROUND(VLOOKUP(A281,'Contribution Allocation_Report'!$A$9:$D$310,4,FALSE)*$C$311,0)</f>
        <v>663133</v>
      </c>
      <c r="D281" s="239">
        <f>ROUND(VLOOKUP(A281,'Contribution Allocation_Report'!$A$9:$D$310,4,FALSE)*$D$311,0)</f>
        <v>527772</v>
      </c>
      <c r="E281" s="239">
        <f>ROUND(VLOOKUP(A281,'Contribution Allocation_Report'!$A$9:$D$310,4,FALSE)*$E$311,0)</f>
        <v>422476</v>
      </c>
      <c r="F281" s="8"/>
    </row>
    <row r="282" spans="1:6">
      <c r="A282" s="220">
        <v>4180</v>
      </c>
      <c r="B282" s="221" t="s">
        <v>269</v>
      </c>
      <c r="C282" s="240">
        <f>ROUND(VLOOKUP(A282,'Contribution Allocation_Report'!$A$9:$D$310,4,FALSE)*$C$311,0)</f>
        <v>651557</v>
      </c>
      <c r="D282" s="240">
        <f>ROUND(VLOOKUP(A282,'Contribution Allocation_Report'!$A$9:$D$310,4,FALSE)*$D$311,0)</f>
        <v>518559</v>
      </c>
      <c r="E282" s="240">
        <f>ROUND(VLOOKUP(A282,'Contribution Allocation_Report'!$A$9:$D$310,4,FALSE)*$E$311,0)</f>
        <v>415101</v>
      </c>
      <c r="F282" s="8"/>
    </row>
    <row r="283" spans="1:6">
      <c r="A283" s="218">
        <v>21063</v>
      </c>
      <c r="B283" s="219" t="s">
        <v>270</v>
      </c>
      <c r="C283" s="239">
        <f>ROUND(VLOOKUP(A283,'Contribution Allocation_Report'!$A$9:$D$310,4,FALSE)*$C$311,0)</f>
        <v>7734350</v>
      </c>
      <c r="D283" s="239">
        <f>ROUND(VLOOKUP(A283,'Contribution Allocation_Report'!$A$9:$D$310,4,FALSE)*$D$311,0)</f>
        <v>6155586</v>
      </c>
      <c r="E283" s="239">
        <f>ROUND(VLOOKUP(A283,'Contribution Allocation_Report'!$A$9:$D$310,4,FALSE)*$E$311,0)</f>
        <v>4927481</v>
      </c>
      <c r="F283" s="8"/>
    </row>
    <row r="284" spans="1:6">
      <c r="A284" s="220">
        <v>10033</v>
      </c>
      <c r="B284" s="221" t="s">
        <v>271</v>
      </c>
      <c r="C284" s="240">
        <f>ROUND(VLOOKUP(A284,'Contribution Allocation_Report'!$A$9:$D$310,4,FALSE)*$C$311,0)</f>
        <v>5479945</v>
      </c>
      <c r="D284" s="240">
        <f>ROUND(VLOOKUP(A284,'Contribution Allocation_Report'!$A$9:$D$310,4,FALSE)*$D$311,0)</f>
        <v>4361359</v>
      </c>
      <c r="E284" s="240">
        <f>ROUND(VLOOKUP(A284,'Contribution Allocation_Report'!$A$9:$D$310,4,FALSE)*$E$311,0)</f>
        <v>3491221</v>
      </c>
      <c r="F284" s="8"/>
    </row>
    <row r="285" spans="1:6">
      <c r="A285" s="218">
        <v>15049</v>
      </c>
      <c r="B285" s="219" t="s">
        <v>272</v>
      </c>
      <c r="C285" s="239">
        <f>ROUND(VLOOKUP(A285,'Contribution Allocation_Report'!$A$9:$D$310,4,FALSE)*$C$311,0)</f>
        <v>5467956</v>
      </c>
      <c r="D285" s="239">
        <f>ROUND(VLOOKUP(A285,'Contribution Allocation_Report'!$A$9:$D$310,4,FALSE)*$D$311,0)</f>
        <v>4351817</v>
      </c>
      <c r="E285" s="239">
        <f>ROUND(VLOOKUP(A285,'Contribution Allocation_Report'!$A$9:$D$310,4,FALSE)*$E$311,0)</f>
        <v>3483583</v>
      </c>
      <c r="F285" s="8"/>
    </row>
    <row r="286" spans="1:6">
      <c r="A286" s="220">
        <v>1315</v>
      </c>
      <c r="B286" s="221" t="s">
        <v>273</v>
      </c>
      <c r="C286" s="240">
        <f>ROUND(VLOOKUP(A286,'Contribution Allocation_Report'!$A$9:$D$310,4,FALSE)*$C$311,0)</f>
        <v>3166007</v>
      </c>
      <c r="D286" s="240">
        <f>ROUND(VLOOKUP(A286,'Contribution Allocation_Report'!$A$9:$D$310,4,FALSE)*$D$311,0)</f>
        <v>2519750</v>
      </c>
      <c r="E286" s="240">
        <f>ROUND(VLOOKUP(A286,'Contribution Allocation_Report'!$A$9:$D$310,4,FALSE)*$E$311,0)</f>
        <v>2017033</v>
      </c>
      <c r="F286" s="8"/>
    </row>
    <row r="287" spans="1:6">
      <c r="A287" s="218">
        <v>3340</v>
      </c>
      <c r="B287" s="219" t="s">
        <v>274</v>
      </c>
      <c r="C287" s="239">
        <f>ROUND(VLOOKUP(A287,'Contribution Allocation_Report'!$A$9:$D$310,4,FALSE)*$C$311,0)</f>
        <v>1414326</v>
      </c>
      <c r="D287" s="239">
        <f>ROUND(VLOOKUP(A287,'Contribution Allocation_Report'!$A$9:$D$310,4,FALSE)*$D$311,0)</f>
        <v>1125629</v>
      </c>
      <c r="E287" s="239">
        <f>ROUND(VLOOKUP(A287,'Contribution Allocation_Report'!$A$9:$D$310,4,FALSE)*$E$311,0)</f>
        <v>901054</v>
      </c>
      <c r="F287" s="8"/>
    </row>
    <row r="288" spans="1:6">
      <c r="A288" s="220">
        <v>3350</v>
      </c>
      <c r="B288" s="249" t="s">
        <v>275</v>
      </c>
      <c r="C288" s="272">
        <f>ROUND(VLOOKUP(A288,'Contribution Allocation_Report'!$A$9:$D$310,4,FALSE)*$C$311,0)</f>
        <v>7038143</v>
      </c>
      <c r="D288" s="272">
        <f>ROUND(VLOOKUP(A288,'Contribution Allocation_Report'!$A$9:$D$310,4,FALSE)*$D$311,0)</f>
        <v>5601491</v>
      </c>
      <c r="E288" s="272">
        <f>ROUND(VLOOKUP(A288,'Contribution Allocation_Report'!$A$9:$D$310,4,FALSE)*$E$311,0)</f>
        <v>4483934</v>
      </c>
      <c r="F288" s="8"/>
    </row>
    <row r="289" spans="1:6">
      <c r="A289" s="218">
        <v>24073</v>
      </c>
      <c r="B289" s="219" t="s">
        <v>276</v>
      </c>
      <c r="C289" s="239">
        <f>ROUND(VLOOKUP(A289,'Contribution Allocation_Report'!$A$9:$D$310,4,FALSE)*$C$311,0)</f>
        <v>984778</v>
      </c>
      <c r="D289" s="239">
        <f>ROUND(VLOOKUP(A289,'Contribution Allocation_Report'!$A$9:$D$310,4,FALSE)*$D$311,0)</f>
        <v>783761</v>
      </c>
      <c r="E289" s="239">
        <f>ROUND(VLOOKUP(A289,'Contribution Allocation_Report'!$A$9:$D$310,4,FALSE)*$E$311,0)</f>
        <v>627393</v>
      </c>
      <c r="F289" s="8"/>
    </row>
    <row r="290" spans="1:6">
      <c r="A290" s="220">
        <v>2100</v>
      </c>
      <c r="B290" s="221" t="s">
        <v>277</v>
      </c>
      <c r="C290" s="240">
        <f>ROUND(VLOOKUP(A290,'Contribution Allocation_Report'!$A$9:$D$310,4,FALSE)*$C$311,0)</f>
        <v>1194384</v>
      </c>
      <c r="D290" s="240">
        <f>ROUND(VLOOKUP(A290,'Contribution Allocation_Report'!$A$9:$D$310,4,FALSE)*$D$311,0)</f>
        <v>950582</v>
      </c>
      <c r="E290" s="240">
        <f>ROUND(VLOOKUP(A290,'Contribution Allocation_Report'!$A$9:$D$310,4,FALSE)*$E$311,0)</f>
        <v>760931</v>
      </c>
      <c r="F290" s="8"/>
    </row>
    <row r="291" spans="1:6">
      <c r="A291" s="218">
        <v>2130</v>
      </c>
      <c r="B291" s="219" t="s">
        <v>278</v>
      </c>
      <c r="C291" s="239">
        <f>ROUND(VLOOKUP(A291,'Contribution Allocation_Report'!$A$9:$D$310,4,FALSE)*$C$311,0)</f>
        <v>392340</v>
      </c>
      <c r="D291" s="239">
        <f>ROUND(VLOOKUP(A291,'Contribution Allocation_Report'!$A$9:$D$310,4,FALSE)*$D$311,0)</f>
        <v>312254</v>
      </c>
      <c r="E291" s="239">
        <f>ROUND(VLOOKUP(A291,'Contribution Allocation_Report'!$A$9:$D$310,4,FALSE)*$E$311,0)</f>
        <v>249956</v>
      </c>
      <c r="F291" s="8"/>
    </row>
    <row r="292" spans="1:6">
      <c r="A292" s="220">
        <v>32099</v>
      </c>
      <c r="B292" s="221" t="s">
        <v>279</v>
      </c>
      <c r="C292" s="240">
        <f>ROUND(VLOOKUP(A292,'Contribution Allocation_Report'!$A$9:$D$310,4,FALSE)*$C$311,0)</f>
        <v>393580</v>
      </c>
      <c r="D292" s="240">
        <f>ROUND(VLOOKUP(A292,'Contribution Allocation_Report'!$A$9:$D$310,4,FALSE)*$D$311,0)</f>
        <v>313241</v>
      </c>
      <c r="E292" s="240">
        <f>ROUND(VLOOKUP(A292,'Contribution Allocation_Report'!$A$9:$D$310,4,FALSE)*$E$311,0)</f>
        <v>250746</v>
      </c>
      <c r="F292" s="8"/>
    </row>
    <row r="293" spans="1:6">
      <c r="A293" s="218">
        <v>32100</v>
      </c>
      <c r="B293" s="219" t="s">
        <v>280</v>
      </c>
      <c r="C293" s="239">
        <f>ROUND(VLOOKUP(A293,'Contribution Allocation_Report'!$A$9:$D$310,4,FALSE)*$C$311,0)</f>
        <v>872326</v>
      </c>
      <c r="D293" s="239">
        <f>ROUND(VLOOKUP(A293,'Contribution Allocation_Report'!$A$9:$D$310,4,FALSE)*$D$311,0)</f>
        <v>694264</v>
      </c>
      <c r="E293" s="239">
        <f>ROUND(VLOOKUP(A293,'Contribution Allocation_Report'!$A$9:$D$310,4,FALSE)*$E$311,0)</f>
        <v>555751</v>
      </c>
      <c r="F293" s="8"/>
    </row>
    <row r="294" spans="1:6">
      <c r="A294" s="220">
        <v>32101</v>
      </c>
      <c r="B294" s="221" t="s">
        <v>281</v>
      </c>
      <c r="C294" s="240">
        <f>ROUND(VLOOKUP(A294,'Contribution Allocation_Report'!$A$9:$D$310,4,FALSE)*$C$311,0)</f>
        <v>42996</v>
      </c>
      <c r="D294" s="240">
        <f>ROUND(VLOOKUP(A294,'Contribution Allocation_Report'!$A$9:$D$310,4,FALSE)*$D$311,0)</f>
        <v>34220</v>
      </c>
      <c r="E294" s="240">
        <f>ROUND(VLOOKUP(A294,'Contribution Allocation_Report'!$A$9:$D$310,4,FALSE)*$E$311,0)</f>
        <v>27392</v>
      </c>
      <c r="F294" s="8"/>
    </row>
    <row r="295" spans="1:6">
      <c r="A295" s="218">
        <v>32102</v>
      </c>
      <c r="B295" s="219" t="s">
        <v>282</v>
      </c>
      <c r="C295" s="239">
        <f>ROUND(VLOOKUP(A295,'Contribution Allocation_Report'!$A$9:$D$310,4,FALSE)*$C$311,0)</f>
        <v>519261</v>
      </c>
      <c r="D295" s="239">
        <f>ROUND(VLOOKUP(A295,'Contribution Allocation_Report'!$A$9:$D$310,4,FALSE)*$D$311,0)</f>
        <v>413268</v>
      </c>
      <c r="E295" s="239">
        <f>ROUND(VLOOKUP(A295,'Contribution Allocation_Report'!$A$9:$D$310,4,FALSE)*$E$311,0)</f>
        <v>330817</v>
      </c>
      <c r="F295" s="8"/>
    </row>
    <row r="296" spans="1:6">
      <c r="A296" s="220">
        <v>2880</v>
      </c>
      <c r="B296" s="221" t="s">
        <v>283</v>
      </c>
      <c r="C296" s="240">
        <f>ROUND(VLOOKUP(A296,'Contribution Allocation_Report'!$A$9:$D$310,4,FALSE)*$C$311,0)</f>
        <v>175706</v>
      </c>
      <c r="D296" s="240">
        <f>ROUND(VLOOKUP(A296,'Contribution Allocation_Report'!$A$9:$D$310,4,FALSE)*$D$311,0)</f>
        <v>139840</v>
      </c>
      <c r="E296" s="240">
        <f>ROUND(VLOOKUP(A296,'Contribution Allocation_Report'!$A$9:$D$310,4,FALSE)*$E$311,0)</f>
        <v>111940</v>
      </c>
      <c r="F296" s="8"/>
    </row>
    <row r="297" spans="1:6">
      <c r="A297" s="218">
        <v>2490</v>
      </c>
      <c r="B297" s="219" t="s">
        <v>284</v>
      </c>
      <c r="C297" s="239">
        <f>ROUND(VLOOKUP(A297,'Contribution Allocation_Report'!$A$9:$D$310,4,FALSE)*$C$311,0)</f>
        <v>1168338</v>
      </c>
      <c r="D297" s="239">
        <f>ROUND(VLOOKUP(A297,'Contribution Allocation_Report'!$A$9:$D$310,4,FALSE)*$D$311,0)</f>
        <v>929853</v>
      </c>
      <c r="E297" s="239">
        <f>ROUND(VLOOKUP(A297,'Contribution Allocation_Report'!$A$9:$D$310,4,FALSE)*$E$311,0)</f>
        <v>744337</v>
      </c>
      <c r="F297" s="8"/>
    </row>
    <row r="298" spans="1:6">
      <c r="A298" s="220">
        <v>2530</v>
      </c>
      <c r="B298" s="221" t="s">
        <v>285</v>
      </c>
      <c r="C298" s="240">
        <f>ROUND(VLOOKUP(A298,'Contribution Allocation_Report'!$A$9:$D$310,4,FALSE)*$C$311,0)</f>
        <v>126095</v>
      </c>
      <c r="D298" s="240">
        <f>ROUND(VLOOKUP(A298,'Contribution Allocation_Report'!$A$9:$D$310,4,FALSE)*$D$311,0)</f>
        <v>100356</v>
      </c>
      <c r="E298" s="240">
        <f>ROUND(VLOOKUP(A298,'Contribution Allocation_Report'!$A$9:$D$310,4,FALSE)*$E$311,0)</f>
        <v>80334</v>
      </c>
      <c r="F298" s="8"/>
    </row>
    <row r="299" spans="1:6">
      <c r="A299" s="218">
        <v>2560</v>
      </c>
      <c r="B299" s="219" t="s">
        <v>286</v>
      </c>
      <c r="C299" s="239">
        <f>ROUND(VLOOKUP(A299,'Contribution Allocation_Report'!$A$9:$D$310,4,FALSE)*$C$311,0)</f>
        <v>374149</v>
      </c>
      <c r="D299" s="239">
        <f>ROUND(VLOOKUP(A299,'Contribution Allocation_Report'!$A$9:$D$310,4,FALSE)*$D$311,0)</f>
        <v>297777</v>
      </c>
      <c r="E299" s="239">
        <f>ROUND(VLOOKUP(A299,'Contribution Allocation_Report'!$A$9:$D$310,4,FALSE)*$E$311,0)</f>
        <v>238367</v>
      </c>
      <c r="F299" s="8"/>
    </row>
    <row r="300" spans="1:6">
      <c r="A300" s="220">
        <v>2610</v>
      </c>
      <c r="B300" s="221" t="s">
        <v>287</v>
      </c>
      <c r="C300" s="240">
        <f>ROUND(VLOOKUP(A300,'Contribution Allocation_Report'!$A$9:$D$310,4,FALSE)*$C$311,0)</f>
        <v>143458</v>
      </c>
      <c r="D300" s="240">
        <f>ROUND(VLOOKUP(A300,'Contribution Allocation_Report'!$A$9:$D$310,4,FALSE)*$D$311,0)</f>
        <v>114175</v>
      </c>
      <c r="E300" s="240">
        <f>ROUND(VLOOKUP(A300,'Contribution Allocation_Report'!$A$9:$D$310,4,FALSE)*$E$311,0)</f>
        <v>91396</v>
      </c>
      <c r="F300" s="8"/>
    </row>
    <row r="301" spans="1:6">
      <c r="A301" s="218">
        <v>2800</v>
      </c>
      <c r="B301" s="219" t="s">
        <v>288</v>
      </c>
      <c r="C301" s="239">
        <f>ROUND(VLOOKUP(A301,'Contribution Allocation_Report'!$A$9:$D$310,4,FALSE)*$C$311,0)</f>
        <v>362987</v>
      </c>
      <c r="D301" s="239">
        <f>ROUND(VLOOKUP(A301,'Contribution Allocation_Report'!$A$9:$D$310,4,FALSE)*$D$311,0)</f>
        <v>288893</v>
      </c>
      <c r="E301" s="239">
        <f>ROUND(VLOOKUP(A301,'Contribution Allocation_Report'!$A$9:$D$310,4,FALSE)*$E$311,0)</f>
        <v>231256</v>
      </c>
      <c r="F301" s="8"/>
    </row>
    <row r="302" spans="1:6">
      <c r="A302" s="220">
        <v>20317</v>
      </c>
      <c r="B302" s="221" t="s">
        <v>289</v>
      </c>
      <c r="C302" s="240">
        <f>ROUND(VLOOKUP(A302,'Contribution Allocation_Report'!$A$9:$D$310,4,FALSE)*$C$311,0)</f>
        <v>601946</v>
      </c>
      <c r="D302" s="240">
        <f>ROUND(VLOOKUP(A302,'Contribution Allocation_Report'!$A$9:$D$310,4,FALSE)*$D$311,0)</f>
        <v>479075</v>
      </c>
      <c r="E302" s="240">
        <f>ROUND(VLOOKUP(A302,'Contribution Allocation_Report'!$A$9:$D$310,4,FALSE)*$E$311,0)</f>
        <v>383494</v>
      </c>
      <c r="F302" s="8"/>
    </row>
    <row r="303" spans="1:6" s="215" customFormat="1">
      <c r="A303" s="218">
        <v>2442</v>
      </c>
      <c r="B303" s="219" t="s">
        <v>451</v>
      </c>
      <c r="C303" s="239">
        <f>ROUND(VLOOKUP(A303,'Contribution Allocation_Report'!$A$9:$D$310,4,FALSE)*$C$311,0)</f>
        <v>69042</v>
      </c>
      <c r="D303" s="239">
        <f>ROUND(VLOOKUP(A303,'Contribution Allocation_Report'!$A$9:$D$310,4,FALSE)*$D$311,0)</f>
        <v>54949</v>
      </c>
      <c r="E303" s="239">
        <f>ROUND(VLOOKUP(A303,'Contribution Allocation_Report'!$A$9:$D$310,4,FALSE)*$E$311,0)</f>
        <v>43986</v>
      </c>
      <c r="F303" s="217"/>
    </row>
    <row r="304" spans="1:6">
      <c r="A304" s="220">
        <v>30090</v>
      </c>
      <c r="B304" s="221" t="s">
        <v>290</v>
      </c>
      <c r="C304" s="240">
        <f>ROUND(VLOOKUP(A304,'Contribution Allocation_Report'!$A$9:$D$310,4,FALSE)*$C$311,0)</f>
        <v>1327920</v>
      </c>
      <c r="D304" s="240">
        <f>ROUND(VLOOKUP(A304,'Contribution Allocation_Report'!$A$9:$D$310,4,FALSE)*$D$311,0)</f>
        <v>1056860</v>
      </c>
      <c r="E304" s="240">
        <f>ROUND(VLOOKUP(A304,'Contribution Allocation_Report'!$A$9:$D$310,4,FALSE)*$E$311,0)</f>
        <v>846005</v>
      </c>
      <c r="F304" s="8"/>
    </row>
    <row r="305" spans="1:6">
      <c r="A305" s="218">
        <v>29330</v>
      </c>
      <c r="B305" s="219" t="s">
        <v>291</v>
      </c>
      <c r="C305" s="239">
        <f>ROUND(VLOOKUP(A305,'Contribution Allocation_Report'!$A$9:$D$310,4,FALSE)*$C$311,0)</f>
        <v>472131</v>
      </c>
      <c r="D305" s="239">
        <f>ROUND(VLOOKUP(A305,'Contribution Allocation_Report'!$A$9:$D$310,4,FALSE)*$D$311,0)</f>
        <v>375758</v>
      </c>
      <c r="E305" s="239">
        <f>ROUND(VLOOKUP(A305,'Contribution Allocation_Report'!$A$9:$D$310,4,FALSE)*$E$311,0)</f>
        <v>300790</v>
      </c>
      <c r="F305" s="8"/>
    </row>
    <row r="306" spans="1:6" s="181" customFormat="1">
      <c r="A306" s="220">
        <v>12038</v>
      </c>
      <c r="B306" s="221" t="s">
        <v>292</v>
      </c>
      <c r="C306" s="240">
        <f>ROUND(VLOOKUP(A306,'Contribution Allocation_Report'!$A$9:$D$310,4,FALSE)*$C$311,0)</f>
        <v>10298411</v>
      </c>
      <c r="D306" s="240">
        <f>ROUND(VLOOKUP(A306,'Contribution Allocation_Report'!$A$9:$D$310,4,FALSE)*$D$311,0)</f>
        <v>8196261</v>
      </c>
      <c r="E306" s="240">
        <f>ROUND(VLOOKUP(A306,'Contribution Allocation_Report'!$A$9:$D$310,4,FALSE)*$E$311,0)</f>
        <v>6561020</v>
      </c>
      <c r="F306" s="182"/>
    </row>
    <row r="307" spans="1:6" s="181" customFormat="1">
      <c r="A307" s="218">
        <v>8099</v>
      </c>
      <c r="B307" s="219" t="s">
        <v>293</v>
      </c>
      <c r="C307" s="239">
        <f>ROUND(VLOOKUP(A307,'Contribution Allocation_Report'!$A$9:$D$310,4,FALSE)*$C$311,0)</f>
        <v>16174003</v>
      </c>
      <c r="D307" s="239">
        <f>ROUND(VLOOKUP(A307,'Contribution Allocation_Report'!$A$9:$D$310,4,FALSE)*$D$311,0)</f>
        <v>12872506</v>
      </c>
      <c r="E307" s="239">
        <f>ROUND(VLOOKUP(A307,'Contribution Allocation_Report'!$A$9:$D$310,4,FALSE)*$E$311,0)</f>
        <v>10304304</v>
      </c>
      <c r="F307" s="182"/>
    </row>
    <row r="308" spans="1:6" s="181" customFormat="1">
      <c r="A308" s="220">
        <v>2417</v>
      </c>
      <c r="B308" s="221" t="s">
        <v>294</v>
      </c>
      <c r="C308" s="240">
        <f>ROUND(VLOOKUP(A308,'Contribution Allocation_Report'!$A$9:$D$310,4,FALSE)*$C$311,0)</f>
        <v>346863</v>
      </c>
      <c r="D308" s="240">
        <f>ROUND(VLOOKUP(A308,'Contribution Allocation_Report'!$A$9:$D$310,4,FALSE)*$D$311,0)</f>
        <v>276060</v>
      </c>
      <c r="E308" s="240">
        <f>ROUND(VLOOKUP(A308,'Contribution Allocation_Report'!$A$9:$D$310,4,FALSE)*$E$311,0)</f>
        <v>220983</v>
      </c>
      <c r="F308" s="182"/>
    </row>
    <row r="309" spans="1:6" s="181" customFormat="1">
      <c r="A309" s="218">
        <v>13142</v>
      </c>
      <c r="B309" s="219" t="s">
        <v>295</v>
      </c>
      <c r="C309" s="213">
        <f>ROUND(VLOOKUP(A309,'Contribution Allocation_Report'!$A$9:$D$310,4,FALSE)*$C$311,0)</f>
        <v>9624528</v>
      </c>
      <c r="D309" s="213">
        <f>ROUND(VLOOKUP(A309,'Contribution Allocation_Report'!$A$9:$D$310,4,FALSE)*$D$311,0)</f>
        <v>7659934</v>
      </c>
      <c r="E309" s="213">
        <f>ROUND(VLOOKUP(A309,'Contribution Allocation_Report'!$A$9:$D$310,4,FALSE)*$E$311,0)</f>
        <v>6131696</v>
      </c>
      <c r="F309" s="182"/>
    </row>
    <row r="310" spans="1:6">
      <c r="A310" s="3"/>
      <c r="B310" s="1"/>
      <c r="C310" s="4"/>
      <c r="D310" s="5"/>
      <c r="E310" s="1"/>
      <c r="F310" s="8"/>
    </row>
    <row r="311" spans="1:6" ht="15.75" thickBot="1">
      <c r="A311" s="3"/>
      <c r="B311" s="18"/>
      <c r="C311" s="88">
        <v>4134247608</v>
      </c>
      <c r="D311" s="88">
        <v>3290349790</v>
      </c>
      <c r="E311" s="88">
        <v>2633889896</v>
      </c>
      <c r="F311" s="8"/>
    </row>
    <row r="312" spans="1:6" s="181" customFormat="1" ht="15.75" thickTop="1">
      <c r="A312" s="34"/>
      <c r="B312" s="18"/>
      <c r="C312" s="94"/>
      <c r="D312" s="94"/>
      <c r="E312" s="94"/>
      <c r="F312" s="182"/>
    </row>
    <row r="313" spans="1:6" s="181" customFormat="1">
      <c r="A313" s="3"/>
      <c r="B313" s="18"/>
      <c r="C313" s="94"/>
      <c r="D313" s="94"/>
      <c r="E313" s="94"/>
      <c r="F313" s="182"/>
    </row>
    <row r="314" spans="1:6">
      <c r="A314" s="34"/>
      <c r="B314" s="34"/>
      <c r="C314" s="35"/>
      <c r="D314" s="35"/>
      <c r="E314" s="35"/>
      <c r="F314" s="8"/>
    </row>
    <row r="315" spans="1:6">
      <c r="A315" s="34"/>
      <c r="B315" s="34"/>
      <c r="C315" s="37"/>
      <c r="D315" s="37"/>
      <c r="E315" s="37"/>
      <c r="F315" s="8"/>
    </row>
    <row r="316" spans="1:6">
      <c r="C316" s="75">
        <f>+SUM(C8:C309)-C311</f>
        <v>0</v>
      </c>
      <c r="D316" s="75">
        <f>+SUM(D8:D309)-D311</f>
        <v>0</v>
      </c>
      <c r="E316" s="75">
        <f>+SUM(E8:E309)-E311</f>
        <v>0</v>
      </c>
    </row>
  </sheetData>
  <mergeCells count="3">
    <mergeCell ref="A1:E1"/>
    <mergeCell ref="A2:E2"/>
    <mergeCell ref="A3:E3"/>
  </mergeCells>
  <pageMargins left="0.7" right="0.7" top="0.5" bottom="0.5" header="0.5" footer="0.45"/>
  <pageSetup scale="54" firstPageNumber="28" fitToHeight="0" orientation="portrait" useFirstPageNumber="1" r:id="rId1"/>
  <headerFooter differentOddEven="1" scaleWithDoc="0">
    <oddFooter>&amp;R&amp;"Arial,Regular"&amp;10&amp;P</oddFooter>
    <evenFooter>&amp;R&amp;"Arial,Regular"&amp;10&amp;P</evenFooter>
  </headerFooter>
  <rowBreaks count="4" manualBreakCount="4">
    <brk id="77" max="4" man="1"/>
    <brk id="147" max="4" man="1"/>
    <brk id="217" max="4" man="1"/>
    <brk id="287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314"/>
  <sheetViews>
    <sheetView view="pageBreakPreview" topLeftCell="A279" zoomScaleNormal="100" zoomScaleSheetLayoutView="100" workbookViewId="0">
      <selection activeCell="A10" sqref="A10:G10"/>
    </sheetView>
  </sheetViews>
  <sheetFormatPr defaultColWidth="9.28515625" defaultRowHeight="15"/>
  <cols>
    <col min="1" max="1" width="13.5703125" style="36" customWidth="1"/>
    <col min="2" max="2" width="68.7109375" style="36" customWidth="1"/>
    <col min="3" max="4" width="17.7109375" style="36" bestFit="1" customWidth="1"/>
    <col min="5" max="5" width="16.85546875" style="36" customWidth="1"/>
    <col min="6" max="6" width="2" style="181" customWidth="1"/>
    <col min="7" max="16384" width="9.28515625" style="181"/>
  </cols>
  <sheetData>
    <row r="1" spans="1:6" ht="18">
      <c r="A1" s="408" t="s">
        <v>392</v>
      </c>
      <c r="B1" s="408"/>
      <c r="C1" s="408"/>
      <c r="D1" s="408"/>
      <c r="E1" s="408"/>
    </row>
    <row r="2" spans="1:6" ht="15.75">
      <c r="A2" s="409" t="s">
        <v>397</v>
      </c>
      <c r="B2" s="409"/>
      <c r="C2" s="409"/>
      <c r="D2" s="409"/>
      <c r="E2" s="409"/>
    </row>
    <row r="3" spans="1:6" ht="15.75">
      <c r="A3" s="412" t="s">
        <v>476</v>
      </c>
      <c r="B3" s="409"/>
      <c r="C3" s="409"/>
      <c r="D3" s="409"/>
      <c r="E3" s="409"/>
    </row>
    <row r="5" spans="1:6" ht="59.1" customHeight="1">
      <c r="A5" s="45" t="s">
        <v>0</v>
      </c>
      <c r="B5" s="46" t="s">
        <v>1</v>
      </c>
      <c r="C5" s="45" t="s">
        <v>329</v>
      </c>
      <c r="D5" s="45" t="s">
        <v>423</v>
      </c>
      <c r="E5" s="45" t="s">
        <v>330</v>
      </c>
      <c r="F5" s="182"/>
    </row>
    <row r="6" spans="1:6">
      <c r="A6" s="19"/>
      <c r="B6" s="19"/>
      <c r="C6" s="222" t="s">
        <v>426</v>
      </c>
      <c r="D6" s="222" t="s">
        <v>438</v>
      </c>
      <c r="E6" s="222" t="s">
        <v>497</v>
      </c>
      <c r="F6" s="182"/>
    </row>
    <row r="7" spans="1:6">
      <c r="A7" s="19"/>
      <c r="B7" s="19"/>
      <c r="C7" s="19"/>
      <c r="D7" s="19"/>
      <c r="E7" s="19"/>
      <c r="F7" s="182"/>
    </row>
    <row r="8" spans="1:6">
      <c r="A8" s="220">
        <v>1341</v>
      </c>
      <c r="B8" s="249" t="s">
        <v>5</v>
      </c>
      <c r="C8" s="272">
        <f>ROUND(VLOOKUP(A8,'Contribution Allocation_Report'!$A$9:$D$310,4,FALSE)*$C$311,0)-8</f>
        <v>638428980</v>
      </c>
      <c r="D8" s="272">
        <f>ROUND(VLOOKUP(A8,'Contribution Allocation_Report'!$A$9:$D$310,4,FALSE)*$D$311,0)-4</f>
        <v>793747857</v>
      </c>
      <c r="E8" s="272">
        <f>ROUND(VLOOKUP(A8,'Contribution Allocation_Report'!$A$9:$D$310,4,FALSE)*$E$311,0)+2</f>
        <v>918826176</v>
      </c>
      <c r="F8" s="182"/>
    </row>
    <row r="9" spans="1:6">
      <c r="A9" s="218">
        <v>2308</v>
      </c>
      <c r="B9" s="219" t="s">
        <v>6</v>
      </c>
      <c r="C9" s="239">
        <f>ROUND(VLOOKUP(A9,'Contribution Allocation_Report'!$A$9:$D$310,4,FALSE)*$C$311,0)</f>
        <v>995614</v>
      </c>
      <c r="D9" s="239">
        <f>ROUND(VLOOKUP(A9,'Contribution Allocation_Report'!$A$9:$D$310,4,FALSE)*$D$311,0)</f>
        <v>1237830</v>
      </c>
      <c r="E9" s="239">
        <f>ROUND(VLOOKUP(A9,'Contribution Allocation_Report'!$A$9:$D$310,4,FALSE)*$E$311,0)</f>
        <v>1432886</v>
      </c>
      <c r="F9" s="182"/>
    </row>
    <row r="10" spans="1:6">
      <c r="A10" s="220">
        <v>2340</v>
      </c>
      <c r="B10" s="221" t="s">
        <v>7</v>
      </c>
      <c r="C10" s="240">
        <f>ROUND(VLOOKUP(A10,'Contribution Allocation_Report'!$A$9:$D$310,4,FALSE)*$C$311,0)</f>
        <v>1071304</v>
      </c>
      <c r="D10" s="240">
        <f>ROUND(VLOOKUP(A10,'Contribution Allocation_Report'!$A$9:$D$310,4,FALSE)*$D$311,0)</f>
        <v>1331934</v>
      </c>
      <c r="E10" s="240">
        <f>ROUND(VLOOKUP(A10,'Contribution Allocation_Report'!$A$9:$D$310,4,FALSE)*$E$311,0)</f>
        <v>1541819</v>
      </c>
      <c r="F10" s="182"/>
    </row>
    <row r="11" spans="1:6">
      <c r="A11" s="218">
        <v>1301</v>
      </c>
      <c r="B11" s="219" t="s">
        <v>8</v>
      </c>
      <c r="C11" s="239">
        <f>ROUND(VLOOKUP(A11,'Contribution Allocation_Report'!$A$9:$D$310,4,FALSE)*$C$311,0)</f>
        <v>1265028</v>
      </c>
      <c r="D11" s="239">
        <f>ROUND(VLOOKUP(A11,'Contribution Allocation_Report'!$A$9:$D$310,4,FALSE)*$D$311,0)</f>
        <v>1572787</v>
      </c>
      <c r="E11" s="239">
        <f>ROUND(VLOOKUP(A11,'Contribution Allocation_Report'!$A$9:$D$310,4,FALSE)*$E$311,0)</f>
        <v>1820626</v>
      </c>
      <c r="F11" s="182"/>
    </row>
    <row r="12" spans="1:6">
      <c r="A12" s="220">
        <v>2390</v>
      </c>
      <c r="B12" s="221" t="s">
        <v>9</v>
      </c>
      <c r="C12" s="240">
        <f>ROUND(VLOOKUP(A12,'Contribution Allocation_Report'!$A$9:$D$310,4,FALSE)*$C$311,0)</f>
        <v>856143</v>
      </c>
      <c r="D12" s="240">
        <f>ROUND(VLOOKUP(A12,'Contribution Allocation_Report'!$A$9:$D$310,4,FALSE)*$D$311,0)</f>
        <v>1064428</v>
      </c>
      <c r="E12" s="240">
        <f>ROUND(VLOOKUP(A12,'Contribution Allocation_Report'!$A$9:$D$310,4,FALSE)*$E$311,0)</f>
        <v>1232160</v>
      </c>
      <c r="F12" s="182"/>
    </row>
    <row r="13" spans="1:6">
      <c r="A13" s="218">
        <v>2441</v>
      </c>
      <c r="B13" s="219" t="s">
        <v>444</v>
      </c>
      <c r="C13" s="239">
        <f>ROUND(VLOOKUP(A13,'Contribution Allocation_Report'!$A$9:$D$310,4,FALSE)*$C$311,0)</f>
        <v>214102</v>
      </c>
      <c r="D13" s="239">
        <f>ROUND(VLOOKUP(A13,'Contribution Allocation_Report'!$A$9:$D$310,4,FALSE)*$D$311,0)</f>
        <v>266189</v>
      </c>
      <c r="E13" s="239">
        <f>ROUND(VLOOKUP(A13,'Contribution Allocation_Report'!$A$9:$D$310,4,FALSE)*$E$311,0)</f>
        <v>308135</v>
      </c>
      <c r="F13" s="182"/>
    </row>
    <row r="14" spans="1:6">
      <c r="A14" s="220">
        <v>15046</v>
      </c>
      <c r="B14" s="221" t="s">
        <v>10</v>
      </c>
      <c r="C14" s="240">
        <f>ROUND(VLOOKUP(A14,'Contribution Allocation_Report'!$A$9:$D$310,4,FALSE)*$C$311,0)</f>
        <v>18601728</v>
      </c>
      <c r="D14" s="240">
        <f>ROUND(VLOOKUP(A14,'Contribution Allocation_Report'!$A$9:$D$310,4,FALSE)*$D$311,0)</f>
        <v>23127211</v>
      </c>
      <c r="E14" s="240">
        <f>ROUND(VLOOKUP(A14,'Contribution Allocation_Report'!$A$9:$D$310,4,FALSE)*$E$311,0)</f>
        <v>26771583</v>
      </c>
      <c r="F14" s="182"/>
    </row>
    <row r="15" spans="1:6">
      <c r="A15" s="218">
        <v>4380</v>
      </c>
      <c r="B15" s="219" t="s">
        <v>11</v>
      </c>
      <c r="C15" s="239">
        <f>ROUND(VLOOKUP(A15,'Contribution Allocation_Report'!$A$9:$D$310,4,FALSE)*$C$311,0)</f>
        <v>19179459</v>
      </c>
      <c r="D15" s="239">
        <f>ROUND(VLOOKUP(A15,'Contribution Allocation_Report'!$A$9:$D$310,4,FALSE)*$D$311,0)</f>
        <v>23845494</v>
      </c>
      <c r="E15" s="239">
        <f>ROUND(VLOOKUP(A15,'Contribution Allocation_Report'!$A$9:$D$310,4,FALSE)*$E$311,0)</f>
        <v>27603053</v>
      </c>
      <c r="F15" s="182"/>
    </row>
    <row r="16" spans="1:6">
      <c r="A16" s="220">
        <v>2435</v>
      </c>
      <c r="B16" s="221" t="s">
        <v>409</v>
      </c>
      <c r="C16" s="240">
        <f>ROUND(VLOOKUP(A16,'Contribution Allocation_Report'!$A$9:$D$310,4,FALSE)*$C$311,0)</f>
        <v>377126</v>
      </c>
      <c r="D16" s="240">
        <f>ROUND(VLOOKUP(A16,'Contribution Allocation_Report'!$A$9:$D$310,4,FALSE)*$D$311,0)</f>
        <v>468875</v>
      </c>
      <c r="E16" s="240">
        <f>ROUND(VLOOKUP(A16,'Contribution Allocation_Report'!$A$9:$D$310,4,FALSE)*$E$311,0)</f>
        <v>542760</v>
      </c>
      <c r="F16" s="182"/>
    </row>
    <row r="17" spans="1:6">
      <c r="A17" s="218">
        <v>4560</v>
      </c>
      <c r="B17" s="219" t="s">
        <v>12</v>
      </c>
      <c r="C17" s="239">
        <f>ROUND(VLOOKUP(A17,'Contribution Allocation_Report'!$A$9:$D$310,4,FALSE)*$C$311,0)</f>
        <v>1669413</v>
      </c>
      <c r="D17" s="239">
        <f>ROUND(VLOOKUP(A17,'Contribution Allocation_Report'!$A$9:$D$310,4,FALSE)*$D$311,0)</f>
        <v>2075553</v>
      </c>
      <c r="E17" s="239">
        <f>ROUND(VLOOKUP(A17,'Contribution Allocation_Report'!$A$9:$D$310,4,FALSE)*$E$311,0)</f>
        <v>2402617</v>
      </c>
      <c r="F17" s="182"/>
    </row>
    <row r="18" spans="1:6">
      <c r="A18" s="220">
        <v>2341</v>
      </c>
      <c r="B18" s="221" t="s">
        <v>440</v>
      </c>
      <c r="C18" s="240">
        <f>ROUND(VLOOKUP(A18,'Contribution Allocation_Report'!$A$9:$D$310,4,FALSE)*$C$311,0)</f>
        <v>980264</v>
      </c>
      <c r="D18" s="240">
        <f>ROUND(VLOOKUP(A18,'Contribution Allocation_Report'!$A$9:$D$310,4,FALSE)*$D$311,0)</f>
        <v>1218746</v>
      </c>
      <c r="E18" s="240">
        <f>ROUND(VLOOKUP(A18,'Contribution Allocation_Report'!$A$9:$D$310,4,FALSE)*$E$311,0)</f>
        <v>1410795</v>
      </c>
      <c r="F18" s="182"/>
    </row>
    <row r="19" spans="1:6">
      <c r="A19" s="218">
        <v>4580</v>
      </c>
      <c r="B19" s="219" t="s">
        <v>410</v>
      </c>
      <c r="C19" s="239">
        <f>ROUND(VLOOKUP(A19,'Contribution Allocation_Report'!$A$9:$D$310,4,FALSE)*$C$311,0)</f>
        <v>822003</v>
      </c>
      <c r="D19" s="239">
        <f>ROUND(VLOOKUP(A19,'Contribution Allocation_Report'!$A$9:$D$310,4,FALSE)*$D$311,0)</f>
        <v>1021983</v>
      </c>
      <c r="E19" s="239">
        <f>ROUND(VLOOKUP(A19,'Contribution Allocation_Report'!$A$9:$D$310,4,FALSE)*$E$311,0)</f>
        <v>1183026</v>
      </c>
      <c r="F19" s="182"/>
    </row>
    <row r="20" spans="1:6">
      <c r="A20" s="220">
        <v>2003</v>
      </c>
      <c r="B20" s="221" t="s">
        <v>13</v>
      </c>
      <c r="C20" s="240">
        <f>ROUND(VLOOKUP(A20,'Contribution Allocation_Report'!$A$9:$D$310,4,FALSE)*$C$311,0)</f>
        <v>299503485</v>
      </c>
      <c r="D20" s="240">
        <f>ROUND(VLOOKUP(A20,'Contribution Allocation_Report'!$A$9:$D$310,4,FALSE)*$D$311,0)</f>
        <v>372367570</v>
      </c>
      <c r="E20" s="240">
        <f>ROUND(VLOOKUP(A20,'Contribution Allocation_Report'!$A$9:$D$310,4,FALSE)*$E$311,0)</f>
        <v>431045028</v>
      </c>
      <c r="F20" s="182"/>
    </row>
    <row r="21" spans="1:6">
      <c r="A21" s="218">
        <v>2412</v>
      </c>
      <c r="B21" s="219" t="s">
        <v>14</v>
      </c>
      <c r="C21" s="239">
        <f>ROUND(VLOOKUP(A21,'Contribution Allocation_Report'!$A$9:$D$310,4,FALSE)*$C$311,0)</f>
        <v>2367825</v>
      </c>
      <c r="D21" s="239">
        <f>ROUND(VLOOKUP(A21,'Contribution Allocation_Report'!$A$9:$D$310,4,FALSE)*$D$311,0)</f>
        <v>2943876</v>
      </c>
      <c r="E21" s="239">
        <f>ROUND(VLOOKUP(A21,'Contribution Allocation_Report'!$A$9:$D$310,4,FALSE)*$E$311,0)</f>
        <v>3407770</v>
      </c>
      <c r="F21" s="182"/>
    </row>
    <row r="22" spans="1:6">
      <c r="A22" s="220">
        <v>2402</v>
      </c>
      <c r="B22" s="221" t="s">
        <v>15</v>
      </c>
      <c r="C22" s="240">
        <f>ROUND(VLOOKUP(A22,'Contribution Allocation_Report'!$A$9:$D$310,4,FALSE)*$C$311,0)</f>
        <v>847145</v>
      </c>
      <c r="D22" s="240">
        <f>ROUND(VLOOKUP(A22,'Contribution Allocation_Report'!$A$9:$D$310,4,FALSE)*$D$311,0)</f>
        <v>1053241</v>
      </c>
      <c r="E22" s="240">
        <f>ROUND(VLOOKUP(A22,'Contribution Allocation_Report'!$A$9:$D$310,4,FALSE)*$E$311,0)</f>
        <v>1219210</v>
      </c>
      <c r="F22" s="182"/>
    </row>
    <row r="23" spans="1:6">
      <c r="A23" s="218">
        <v>2361</v>
      </c>
      <c r="B23" s="219" t="s">
        <v>16</v>
      </c>
      <c r="C23" s="239">
        <f>ROUND(VLOOKUP(A23,'Contribution Allocation_Report'!$A$9:$D$310,4,FALSE)*$C$311,0)</f>
        <v>544650</v>
      </c>
      <c r="D23" s="239">
        <f>ROUND(VLOOKUP(A23,'Contribution Allocation_Report'!$A$9:$D$310,4,FALSE)*$D$311,0)</f>
        <v>677154</v>
      </c>
      <c r="E23" s="239">
        <f>ROUND(VLOOKUP(A23,'Contribution Allocation_Report'!$A$9:$D$310,4,FALSE)*$E$311,0)</f>
        <v>783860</v>
      </c>
      <c r="F23" s="182"/>
    </row>
    <row r="24" spans="1:6">
      <c r="A24" s="220">
        <v>8347</v>
      </c>
      <c r="B24" s="221" t="s">
        <v>17</v>
      </c>
      <c r="C24" s="240">
        <f>ROUND(VLOOKUP(A24,'Contribution Allocation_Report'!$A$9:$D$310,4,FALSE)*$C$311,0)</f>
        <v>792892</v>
      </c>
      <c r="D24" s="240">
        <f>ROUND(VLOOKUP(A24,'Contribution Allocation_Report'!$A$9:$D$310,4,FALSE)*$D$311,0)</f>
        <v>985789</v>
      </c>
      <c r="E24" s="240">
        <f>ROUND(VLOOKUP(A24,'Contribution Allocation_Report'!$A$9:$D$310,4,FALSE)*$E$311,0)</f>
        <v>1141129</v>
      </c>
      <c r="F24" s="182"/>
    </row>
    <row r="25" spans="1:6">
      <c r="A25" s="218">
        <v>2356</v>
      </c>
      <c r="B25" s="219" t="s">
        <v>18</v>
      </c>
      <c r="C25" s="239">
        <f>ROUND(VLOOKUP(A25,'Contribution Allocation_Report'!$A$9:$D$310,4,FALSE)*$C$311,0)</f>
        <v>1508506</v>
      </c>
      <c r="D25" s="239">
        <f>ROUND(VLOOKUP(A25,'Contribution Allocation_Report'!$A$9:$D$310,4,FALSE)*$D$311,0)</f>
        <v>1875499</v>
      </c>
      <c r="E25" s="239">
        <f>ROUND(VLOOKUP(A25,'Contribution Allocation_Report'!$A$9:$D$310,4,FALSE)*$E$311,0)</f>
        <v>2171039</v>
      </c>
      <c r="F25" s="182"/>
    </row>
    <row r="26" spans="1:6">
      <c r="A26" s="220">
        <v>7335</v>
      </c>
      <c r="B26" s="221" t="s">
        <v>19</v>
      </c>
      <c r="C26" s="240">
        <f>ROUND(VLOOKUP(A26,'Contribution Allocation_Report'!$A$9:$D$310,4,FALSE)*$C$311,0)</f>
        <v>569527</v>
      </c>
      <c r="D26" s="240">
        <f>ROUND(VLOOKUP(A26,'Contribution Allocation_Report'!$A$9:$D$310,4,FALSE)*$D$311,0)</f>
        <v>708083</v>
      </c>
      <c r="E26" s="240">
        <f>ROUND(VLOOKUP(A26,'Contribution Allocation_Report'!$A$9:$D$310,4,FALSE)*$E$311,0)</f>
        <v>819663</v>
      </c>
      <c r="F26" s="182"/>
    </row>
    <row r="27" spans="1:6">
      <c r="A27" s="218">
        <v>575</v>
      </c>
      <c r="B27" s="219" t="s">
        <v>411</v>
      </c>
      <c r="C27" s="239">
        <f>ROUND(VLOOKUP(A27,'Contribution Allocation_Report'!$A$9:$D$310,4,FALSE)*$C$311,0)</f>
        <v>465784</v>
      </c>
      <c r="D27" s="239">
        <f>ROUND(VLOOKUP(A27,'Contribution Allocation_Report'!$A$9:$D$310,4,FALSE)*$D$311,0)</f>
        <v>579102</v>
      </c>
      <c r="E27" s="239">
        <f>ROUND(VLOOKUP(A27,'Contribution Allocation_Report'!$A$9:$D$310,4,FALSE)*$E$311,0)</f>
        <v>670356</v>
      </c>
      <c r="F27" s="182"/>
    </row>
    <row r="28" spans="1:6">
      <c r="A28" s="220">
        <v>2303</v>
      </c>
      <c r="B28" s="221" t="s">
        <v>20</v>
      </c>
      <c r="C28" s="240">
        <f>ROUND(VLOOKUP(A28,'Contribution Allocation_Report'!$A$9:$D$310,4,FALSE)*$C$311,0)</f>
        <v>1172135</v>
      </c>
      <c r="D28" s="240">
        <f>ROUND(VLOOKUP(A28,'Contribution Allocation_Report'!$A$9:$D$310,4,FALSE)*$D$311,0)</f>
        <v>1457296</v>
      </c>
      <c r="E28" s="240">
        <f>ROUND(VLOOKUP(A28,'Contribution Allocation_Report'!$A$9:$D$310,4,FALSE)*$E$311,0)</f>
        <v>1686936</v>
      </c>
      <c r="F28" s="182"/>
    </row>
    <row r="29" spans="1:6">
      <c r="A29" s="218">
        <v>20316</v>
      </c>
      <c r="B29" s="219" t="s">
        <v>21</v>
      </c>
      <c r="C29" s="239">
        <f>ROUND(VLOOKUP(A29,'Contribution Allocation_Report'!$A$9:$D$310,4,FALSE)*$C$311,0)</f>
        <v>608431</v>
      </c>
      <c r="D29" s="239">
        <f>ROUND(VLOOKUP(A29,'Contribution Allocation_Report'!$A$9:$D$310,4,FALSE)*$D$311,0)</f>
        <v>756451</v>
      </c>
      <c r="E29" s="239">
        <f>ROUND(VLOOKUP(A29,'Contribution Allocation_Report'!$A$9:$D$310,4,FALSE)*$E$311,0)</f>
        <v>875653</v>
      </c>
      <c r="F29" s="182"/>
    </row>
    <row r="30" spans="1:6">
      <c r="A30" s="220">
        <v>23121</v>
      </c>
      <c r="B30" s="221" t="s">
        <v>22</v>
      </c>
      <c r="C30" s="240">
        <f>ROUND(VLOOKUP(A30,'Contribution Allocation_Report'!$A$9:$D$310,4,FALSE)*$C$311,0)</f>
        <v>741550</v>
      </c>
      <c r="D30" s="240">
        <f>ROUND(VLOOKUP(A30,'Contribution Allocation_Report'!$A$9:$D$310,4,FALSE)*$D$311,0)</f>
        <v>921956</v>
      </c>
      <c r="E30" s="240">
        <f>ROUND(VLOOKUP(A30,'Contribution Allocation_Report'!$A$9:$D$310,4,FALSE)*$E$311,0)</f>
        <v>1067237</v>
      </c>
      <c r="F30" s="182"/>
    </row>
    <row r="31" spans="1:6">
      <c r="A31" s="218">
        <v>3004</v>
      </c>
      <c r="B31" s="219" t="s">
        <v>23</v>
      </c>
      <c r="C31" s="239">
        <f>ROUND(VLOOKUP(A31,'Contribution Allocation_Report'!$A$9:$D$310,4,FALSE)*$C$311,0)</f>
        <v>13064983</v>
      </c>
      <c r="D31" s="239">
        <f>ROUND(VLOOKUP(A31,'Contribution Allocation_Report'!$A$9:$D$310,4,FALSE)*$D$311,0)</f>
        <v>16243470</v>
      </c>
      <c r="E31" s="239">
        <f>ROUND(VLOOKUP(A31,'Contribution Allocation_Report'!$A$9:$D$310,4,FALSE)*$E$311,0)</f>
        <v>18803106</v>
      </c>
      <c r="F31" s="182"/>
    </row>
    <row r="32" spans="1:6">
      <c r="A32" s="220">
        <v>16050</v>
      </c>
      <c r="B32" s="221" t="s">
        <v>24</v>
      </c>
      <c r="C32" s="240">
        <f>ROUND(VLOOKUP(A32,'Contribution Allocation_Report'!$A$9:$D$310,4,FALSE)*$C$311,0)</f>
        <v>8916857</v>
      </c>
      <c r="D32" s="240">
        <f>ROUND(VLOOKUP(A32,'Contribution Allocation_Report'!$A$9:$D$310,4,FALSE)*$D$311,0)</f>
        <v>11086176</v>
      </c>
      <c r="E32" s="240">
        <f>ROUND(VLOOKUP(A32,'Contribution Allocation_Report'!$A$9:$D$310,4,FALSE)*$E$311,0)</f>
        <v>12833128</v>
      </c>
      <c r="F32" s="182"/>
    </row>
    <row r="33" spans="1:6">
      <c r="A33" s="218">
        <v>14043</v>
      </c>
      <c r="B33" s="219" t="s">
        <v>25</v>
      </c>
      <c r="C33" s="239">
        <f>ROUND(VLOOKUP(A33,'Contribution Allocation_Report'!$A$9:$D$310,4,FALSE)*$C$311,0)</f>
        <v>12294321</v>
      </c>
      <c r="D33" s="239">
        <f>ROUND(VLOOKUP(A33,'Contribution Allocation_Report'!$A$9:$D$310,4,FALSE)*$D$311,0)</f>
        <v>15285320</v>
      </c>
      <c r="E33" s="239">
        <f>ROUND(VLOOKUP(A33,'Contribution Allocation_Report'!$A$9:$D$310,4,FALSE)*$E$311,0)</f>
        <v>17693972</v>
      </c>
      <c r="F33" s="182"/>
    </row>
    <row r="34" spans="1:6">
      <c r="A34" s="220">
        <v>3010</v>
      </c>
      <c r="B34" s="221" t="s">
        <v>26</v>
      </c>
      <c r="C34" s="240">
        <f>ROUND(VLOOKUP(A34,'Contribution Allocation_Report'!$A$9:$D$310,4,FALSE)*$C$311,0)</f>
        <v>77060823</v>
      </c>
      <c r="D34" s="240">
        <f>ROUND(VLOOKUP(A34,'Contribution Allocation_Report'!$A$9:$D$310,4,FALSE)*$D$311,0)</f>
        <v>95808405</v>
      </c>
      <c r="E34" s="240">
        <f>ROUND(VLOOKUP(A34,'Contribution Allocation_Report'!$A$9:$D$310,4,FALSE)*$E$311,0)</f>
        <v>110905836</v>
      </c>
      <c r="F34" s="182"/>
    </row>
    <row r="35" spans="1:6">
      <c r="A35" s="218">
        <v>29086</v>
      </c>
      <c r="B35" s="219" t="s">
        <v>27</v>
      </c>
      <c r="C35" s="239">
        <f>ROUND(VLOOKUP(A35,'Contribution Allocation_Report'!$A$9:$D$310,4,FALSE)*$C$311,0)</f>
        <v>11513339</v>
      </c>
      <c r="D35" s="239">
        <f>ROUND(VLOOKUP(A35,'Contribution Allocation_Report'!$A$9:$D$310,4,FALSE)*$D$311,0)</f>
        <v>14314338</v>
      </c>
      <c r="E35" s="239">
        <f>ROUND(VLOOKUP(A35,'Contribution Allocation_Report'!$A$9:$D$310,4,FALSE)*$E$311,0)</f>
        <v>16569982</v>
      </c>
      <c r="F35" s="182"/>
    </row>
    <row r="36" spans="1:6">
      <c r="A36" s="220">
        <v>16051</v>
      </c>
      <c r="B36" s="221" t="s">
        <v>28</v>
      </c>
      <c r="C36" s="240">
        <f>ROUND(VLOOKUP(A36,'Contribution Allocation_Report'!$A$9:$D$310,4,FALSE)*$C$311,0)</f>
        <v>10024153</v>
      </c>
      <c r="D36" s="240">
        <f>ROUND(VLOOKUP(A36,'Contribution Allocation_Report'!$A$9:$D$310,4,FALSE)*$D$311,0)</f>
        <v>12462858</v>
      </c>
      <c r="E36" s="240">
        <f>ROUND(VLOOKUP(A36,'Contribution Allocation_Report'!$A$9:$D$310,4,FALSE)*$E$311,0)</f>
        <v>14426748</v>
      </c>
      <c r="F36" s="182"/>
    </row>
    <row r="37" spans="1:6">
      <c r="A37" s="218">
        <v>26077</v>
      </c>
      <c r="B37" s="219" t="s">
        <v>29</v>
      </c>
      <c r="C37" s="239">
        <f>ROUND(VLOOKUP(A37,'Contribution Allocation_Report'!$A$9:$D$310,4,FALSE)*$C$311,0)</f>
        <v>1878751</v>
      </c>
      <c r="D37" s="239">
        <f>ROUND(VLOOKUP(A37,'Contribution Allocation_Report'!$A$9:$D$310,4,FALSE)*$D$311,0)</f>
        <v>2335819</v>
      </c>
      <c r="E37" s="239">
        <f>ROUND(VLOOKUP(A37,'Contribution Allocation_Report'!$A$9:$D$310,4,FALSE)*$E$311,0)</f>
        <v>2703896</v>
      </c>
      <c r="F37" s="182"/>
    </row>
    <row r="38" spans="1:6">
      <c r="A38" s="220">
        <v>3005</v>
      </c>
      <c r="B38" s="221" t="s">
        <v>30</v>
      </c>
      <c r="C38" s="240">
        <f>ROUND(VLOOKUP(A38,'Contribution Allocation_Report'!$A$9:$D$310,4,FALSE)*$C$311,0)</f>
        <v>21919382</v>
      </c>
      <c r="D38" s="240">
        <f>ROUND(VLOOKUP(A38,'Contribution Allocation_Report'!$A$9:$D$310,4,FALSE)*$D$311,0)</f>
        <v>27251993</v>
      </c>
      <c r="E38" s="240">
        <f>ROUND(VLOOKUP(A38,'Contribution Allocation_Report'!$A$9:$D$310,4,FALSE)*$E$311,0)</f>
        <v>31546346</v>
      </c>
      <c r="F38" s="182"/>
    </row>
    <row r="39" spans="1:6">
      <c r="A39" s="218">
        <v>26078</v>
      </c>
      <c r="B39" s="219" t="s">
        <v>31</v>
      </c>
      <c r="C39" s="239">
        <f>ROUND(VLOOKUP(A39,'Contribution Allocation_Report'!$A$9:$D$310,4,FALSE)*$C$311,0)</f>
        <v>816446</v>
      </c>
      <c r="D39" s="239">
        <f>ROUND(VLOOKUP(A39,'Contribution Allocation_Report'!$A$9:$D$310,4,FALSE)*$D$311,0)</f>
        <v>1015073</v>
      </c>
      <c r="E39" s="239">
        <f>ROUND(VLOOKUP(A39,'Contribution Allocation_Report'!$A$9:$D$310,4,FALSE)*$E$311,0)</f>
        <v>1175027</v>
      </c>
      <c r="F39" s="182"/>
    </row>
    <row r="40" spans="1:6">
      <c r="A40" s="220">
        <v>16053</v>
      </c>
      <c r="B40" s="221" t="s">
        <v>32</v>
      </c>
      <c r="C40" s="240">
        <f>ROUND(VLOOKUP(A40,'Contribution Allocation_Report'!$A$9:$D$310,4,FALSE)*$C$311,0)</f>
        <v>24477225</v>
      </c>
      <c r="D40" s="240">
        <f>ROUND(VLOOKUP(A40,'Contribution Allocation_Report'!$A$9:$D$310,4,FALSE)*$D$311,0)</f>
        <v>30432116</v>
      </c>
      <c r="E40" s="240">
        <f>ROUND(VLOOKUP(A40,'Contribution Allocation_Report'!$A$9:$D$310,4,FALSE)*$E$311,0)</f>
        <v>35227591</v>
      </c>
      <c r="F40" s="182"/>
    </row>
    <row r="41" spans="1:6">
      <c r="A41" s="218">
        <v>2123</v>
      </c>
      <c r="B41" s="219" t="s">
        <v>33</v>
      </c>
      <c r="C41" s="239">
        <f>ROUND(VLOOKUP(A41,'Contribution Allocation_Report'!$A$9:$D$310,4,FALSE)*$C$311,0)</f>
        <v>43951240</v>
      </c>
      <c r="D41" s="239">
        <f>ROUND(VLOOKUP(A41,'Contribution Allocation_Report'!$A$9:$D$310,4,FALSE)*$D$311,0)</f>
        <v>54643826</v>
      </c>
      <c r="E41" s="239">
        <f>ROUND(VLOOKUP(A41,'Contribution Allocation_Report'!$A$9:$D$310,4,FALSE)*$E$311,0)</f>
        <v>63254567</v>
      </c>
      <c r="F41" s="182"/>
    </row>
    <row r="42" spans="1:6">
      <c r="A42" s="220">
        <v>2150</v>
      </c>
      <c r="B42" s="221" t="s">
        <v>34</v>
      </c>
      <c r="C42" s="240">
        <f>ROUND(VLOOKUP(A42,'Contribution Allocation_Report'!$A$9:$D$310,4,FALSE)*$C$311,0)</f>
        <v>2125405</v>
      </c>
      <c r="D42" s="240">
        <f>ROUND(VLOOKUP(A42,'Contribution Allocation_Report'!$A$9:$D$310,4,FALSE)*$D$311,0)</f>
        <v>2642480</v>
      </c>
      <c r="E42" s="240">
        <f>ROUND(VLOOKUP(A42,'Contribution Allocation_Report'!$A$9:$D$310,4,FALSE)*$E$311,0)</f>
        <v>3058880</v>
      </c>
      <c r="F42" s="182"/>
    </row>
    <row r="43" spans="1:6">
      <c r="A43" s="218">
        <v>2336</v>
      </c>
      <c r="B43" s="219" t="s">
        <v>35</v>
      </c>
      <c r="C43" s="239">
        <f>ROUND(VLOOKUP(A43,'Contribution Allocation_Report'!$A$9:$D$310,4,FALSE)*$C$311,0)</f>
        <v>626162</v>
      </c>
      <c r="D43" s="239">
        <f>ROUND(VLOOKUP(A43,'Contribution Allocation_Report'!$A$9:$D$310,4,FALSE)*$D$311,0)</f>
        <v>778497</v>
      </c>
      <c r="E43" s="239">
        <f>ROUND(VLOOKUP(A43,'Contribution Allocation_Report'!$A$9:$D$310,4,FALSE)*$E$311,0)</f>
        <v>901172</v>
      </c>
      <c r="F43" s="182"/>
    </row>
    <row r="44" spans="1:6">
      <c r="A44" s="220">
        <v>17126</v>
      </c>
      <c r="B44" s="221" t="s">
        <v>36</v>
      </c>
      <c r="C44" s="240">
        <f>ROUND(VLOOKUP(A44,'Contribution Allocation_Report'!$A$9:$D$310,4,FALSE)*$C$311,0)</f>
        <v>1795122</v>
      </c>
      <c r="D44" s="240">
        <f>ROUND(VLOOKUP(A44,'Contribution Allocation_Report'!$A$9:$D$310,4,FALSE)*$D$311,0)</f>
        <v>2231844</v>
      </c>
      <c r="E44" s="240">
        <f>ROUND(VLOOKUP(A44,'Contribution Allocation_Report'!$A$9:$D$310,4,FALSE)*$E$311,0)</f>
        <v>2583537</v>
      </c>
      <c r="F44" s="182"/>
    </row>
    <row r="45" spans="1:6">
      <c r="A45" s="218">
        <v>3030</v>
      </c>
      <c r="B45" s="219" t="s">
        <v>37</v>
      </c>
      <c r="C45" s="239">
        <f>ROUND(VLOOKUP(A45,'Contribution Allocation_Report'!$A$9:$D$310,4,FALSE)*$C$311,0)</f>
        <v>5625138</v>
      </c>
      <c r="D45" s="239">
        <f>ROUND(VLOOKUP(A45,'Contribution Allocation_Report'!$A$9:$D$310,4,FALSE)*$D$311,0)</f>
        <v>6993638</v>
      </c>
      <c r="E45" s="239">
        <f>ROUND(VLOOKUP(A45,'Contribution Allocation_Report'!$A$9:$D$310,4,FALSE)*$E$311,0)</f>
        <v>8095692</v>
      </c>
      <c r="F45" s="182"/>
    </row>
    <row r="46" spans="1:6">
      <c r="A46" s="220">
        <v>2353</v>
      </c>
      <c r="B46" s="221" t="s">
        <v>38</v>
      </c>
      <c r="C46" s="240">
        <f>ROUND(VLOOKUP(A46,'Contribution Allocation_Report'!$A$9:$D$310,4,FALSE)*$C$311,0)</f>
        <v>1115236</v>
      </c>
      <c r="D46" s="240">
        <f>ROUND(VLOOKUP(A46,'Contribution Allocation_Report'!$A$9:$D$310,4,FALSE)*$D$311,0)</f>
        <v>1386553</v>
      </c>
      <c r="E46" s="240">
        <f>ROUND(VLOOKUP(A46,'Contribution Allocation_Report'!$A$9:$D$310,4,FALSE)*$E$311,0)</f>
        <v>1605046</v>
      </c>
      <c r="F46" s="182"/>
    </row>
    <row r="47" spans="1:6">
      <c r="A47" s="218">
        <v>3040</v>
      </c>
      <c r="B47" s="219" t="s">
        <v>39</v>
      </c>
      <c r="C47" s="239">
        <f>ROUND(VLOOKUP(A47,'Contribution Allocation_Report'!$A$9:$D$310,4,FALSE)*$C$311,0)</f>
        <v>1975878</v>
      </c>
      <c r="D47" s="239">
        <f>ROUND(VLOOKUP(A47,'Contribution Allocation_Report'!$A$9:$D$310,4,FALSE)*$D$311,0)</f>
        <v>2456575</v>
      </c>
      <c r="E47" s="239">
        <f>ROUND(VLOOKUP(A47,'Contribution Allocation_Report'!$A$9:$D$310,4,FALSE)*$E$311,0)</f>
        <v>2843681</v>
      </c>
      <c r="F47" s="182"/>
    </row>
    <row r="48" spans="1:6">
      <c r="A48" s="220">
        <v>2367</v>
      </c>
      <c r="B48" s="221" t="s">
        <v>40</v>
      </c>
      <c r="C48" s="240">
        <f>ROUND(VLOOKUP(A48,'Contribution Allocation_Report'!$A$9:$D$310,4,FALSE)*$C$311,0)</f>
        <v>1341247</v>
      </c>
      <c r="D48" s="240">
        <f>ROUND(VLOOKUP(A48,'Contribution Allocation_Report'!$A$9:$D$310,4,FALSE)*$D$311,0)</f>
        <v>1667549</v>
      </c>
      <c r="E48" s="240">
        <f>ROUND(VLOOKUP(A48,'Contribution Allocation_Report'!$A$9:$D$310,4,FALSE)*$E$311,0)</f>
        <v>1930321</v>
      </c>
      <c r="F48" s="182"/>
    </row>
    <row r="49" spans="1:6">
      <c r="A49" s="218">
        <v>9027</v>
      </c>
      <c r="B49" s="219" t="s">
        <v>41</v>
      </c>
      <c r="C49" s="239">
        <f>ROUND(VLOOKUP(A49,'Contribution Allocation_Report'!$A$9:$D$310,4,FALSE)*$C$311,0)</f>
        <v>1965292</v>
      </c>
      <c r="D49" s="239">
        <f>ROUND(VLOOKUP(A49,'Contribution Allocation_Report'!$A$9:$D$310,4,FALSE)*$D$311,0)</f>
        <v>2443414</v>
      </c>
      <c r="E49" s="239">
        <f>ROUND(VLOOKUP(A49,'Contribution Allocation_Report'!$A$9:$D$310,4,FALSE)*$E$311,0)</f>
        <v>2828445</v>
      </c>
      <c r="F49" s="182"/>
    </row>
    <row r="50" spans="1:6">
      <c r="A50" s="220">
        <v>2010</v>
      </c>
      <c r="B50" s="221" t="s">
        <v>42</v>
      </c>
      <c r="C50" s="240">
        <f>ROUND(VLOOKUP(A50,'Contribution Allocation_Report'!$A$9:$D$310,4,FALSE)*$C$311,0)</f>
        <v>7086272</v>
      </c>
      <c r="D50" s="240">
        <f>ROUND(VLOOKUP(A50,'Contribution Allocation_Report'!$A$9:$D$310,4,FALSE)*$D$311,0)</f>
        <v>8810241</v>
      </c>
      <c r="E50" s="240">
        <f>ROUND(VLOOKUP(A50,'Contribution Allocation_Report'!$A$9:$D$310,4,FALSE)*$E$311,0)</f>
        <v>10198553</v>
      </c>
      <c r="F50" s="182"/>
    </row>
    <row r="51" spans="1:6">
      <c r="A51" s="218">
        <v>2020</v>
      </c>
      <c r="B51" s="219" t="s">
        <v>43</v>
      </c>
      <c r="C51" s="239">
        <f>ROUND(VLOOKUP(A51,'Contribution Allocation_Report'!$A$9:$D$310,4,FALSE)*$C$311,0)</f>
        <v>183263329</v>
      </c>
      <c r="D51" s="239">
        <f>ROUND(VLOOKUP(A51,'Contribution Allocation_Report'!$A$9:$D$310,4,FALSE)*$D$311,0)</f>
        <v>227848168</v>
      </c>
      <c r="E51" s="239">
        <f>ROUND(VLOOKUP(A51,'Contribution Allocation_Report'!$A$9:$D$310,4,FALSE)*$E$311,0)</f>
        <v>263752346</v>
      </c>
      <c r="F51" s="182"/>
    </row>
    <row r="52" spans="1:6">
      <c r="A52" s="220">
        <v>2040</v>
      </c>
      <c r="B52" s="221" t="s">
        <v>44</v>
      </c>
      <c r="C52" s="240">
        <f>ROUND(VLOOKUP(A52,'Contribution Allocation_Report'!$A$9:$D$310,4,FALSE)*$C$311,0)</f>
        <v>2342418</v>
      </c>
      <c r="D52" s="240">
        <f>ROUND(VLOOKUP(A52,'Contribution Allocation_Report'!$A$9:$D$310,4,FALSE)*$D$311,0)</f>
        <v>2912289</v>
      </c>
      <c r="E52" s="240">
        <f>ROUND(VLOOKUP(A52,'Contribution Allocation_Report'!$A$9:$D$310,4,FALSE)*$E$311,0)</f>
        <v>3371205</v>
      </c>
      <c r="F52" s="182"/>
    </row>
    <row r="53" spans="1:6">
      <c r="A53" s="218">
        <v>2060</v>
      </c>
      <c r="B53" s="219" t="s">
        <v>45</v>
      </c>
      <c r="C53" s="239">
        <f>ROUND(VLOOKUP(A53,'Contribution Allocation_Report'!$A$9:$D$310,4,FALSE)*$C$311,0)</f>
        <v>2486123</v>
      </c>
      <c r="D53" s="239">
        <f>ROUND(VLOOKUP(A53,'Contribution Allocation_Report'!$A$9:$D$310,4,FALSE)*$D$311,0)</f>
        <v>3090955</v>
      </c>
      <c r="E53" s="239">
        <f>ROUND(VLOOKUP(A53,'Contribution Allocation_Report'!$A$9:$D$310,4,FALSE)*$E$311,0)</f>
        <v>3578025</v>
      </c>
      <c r="F53" s="182"/>
    </row>
    <row r="54" spans="1:6">
      <c r="A54" s="220">
        <v>2090</v>
      </c>
      <c r="B54" s="221" t="s">
        <v>46</v>
      </c>
      <c r="C54" s="240">
        <f>ROUND(VLOOKUP(A54,'Contribution Allocation_Report'!$A$9:$D$310,4,FALSE)*$C$311,0)</f>
        <v>1920037</v>
      </c>
      <c r="D54" s="240">
        <f>ROUND(VLOOKUP(A54,'Contribution Allocation_Report'!$A$9:$D$310,4,FALSE)*$D$311,0)</f>
        <v>2387149</v>
      </c>
      <c r="E54" s="240">
        <f>ROUND(VLOOKUP(A54,'Contribution Allocation_Report'!$A$9:$D$310,4,FALSE)*$E$311,0)</f>
        <v>2763314</v>
      </c>
      <c r="F54" s="182"/>
    </row>
    <row r="55" spans="1:6">
      <c r="A55" s="218">
        <v>2110</v>
      </c>
      <c r="B55" s="219" t="s">
        <v>47</v>
      </c>
      <c r="C55" s="239">
        <f>ROUND(VLOOKUP(A55,'Contribution Allocation_Report'!$A$9:$D$310,4,FALSE)*$C$311,0)</f>
        <v>16357759</v>
      </c>
      <c r="D55" s="239">
        <f>ROUND(VLOOKUP(A55,'Contribution Allocation_Report'!$A$9:$D$310,4,FALSE)*$D$311,0)</f>
        <v>20337323</v>
      </c>
      <c r="E55" s="239">
        <f>ROUND(VLOOKUP(A55,'Contribution Allocation_Report'!$A$9:$D$310,4,FALSE)*$E$311,0)</f>
        <v>23542066</v>
      </c>
      <c r="F55" s="182"/>
    </row>
    <row r="56" spans="1:6">
      <c r="A56" s="220">
        <v>2180</v>
      </c>
      <c r="B56" s="221" t="s">
        <v>48</v>
      </c>
      <c r="C56" s="240">
        <f>ROUND(VLOOKUP(A56,'Contribution Allocation_Report'!$A$9:$D$310,4,FALSE)*$C$311,0)</f>
        <v>7608956</v>
      </c>
      <c r="D56" s="240">
        <f>ROUND(VLOOKUP(A56,'Contribution Allocation_Report'!$A$9:$D$310,4,FALSE)*$D$311,0)</f>
        <v>9460085</v>
      </c>
      <c r="E56" s="240">
        <f>ROUND(VLOOKUP(A56,'Contribution Allocation_Report'!$A$9:$D$310,4,FALSE)*$E$311,0)</f>
        <v>10950799</v>
      </c>
      <c r="F56" s="182"/>
    </row>
    <row r="57" spans="1:6">
      <c r="A57" s="218">
        <v>2210</v>
      </c>
      <c r="B57" s="219" t="s">
        <v>49</v>
      </c>
      <c r="C57" s="239">
        <f>ROUND(VLOOKUP(A57,'Contribution Allocation_Report'!$A$9:$D$310,4,FALSE)*$C$311,0)</f>
        <v>3619620</v>
      </c>
      <c r="D57" s="239">
        <f>ROUND(VLOOKUP(A57,'Contribution Allocation_Report'!$A$9:$D$310,4,FALSE)*$D$311,0)</f>
        <v>4500211</v>
      </c>
      <c r="E57" s="239">
        <f>ROUND(VLOOKUP(A57,'Contribution Allocation_Report'!$A$9:$D$310,4,FALSE)*$E$311,0)</f>
        <v>5209352</v>
      </c>
      <c r="F57" s="182"/>
    </row>
    <row r="58" spans="1:6">
      <c r="A58" s="220">
        <v>2290</v>
      </c>
      <c r="B58" s="221" t="s">
        <v>50</v>
      </c>
      <c r="C58" s="240">
        <f>ROUND(VLOOKUP(A58,'Contribution Allocation_Report'!$A$9:$D$310,4,FALSE)*$C$311,0)</f>
        <v>3557162</v>
      </c>
      <c r="D58" s="240">
        <f>ROUND(VLOOKUP(A58,'Contribution Allocation_Report'!$A$9:$D$310,4,FALSE)*$D$311,0)</f>
        <v>4422559</v>
      </c>
      <c r="E58" s="240">
        <f>ROUND(VLOOKUP(A58,'Contribution Allocation_Report'!$A$9:$D$310,4,FALSE)*$E$311,0)</f>
        <v>5119463</v>
      </c>
      <c r="F58" s="182"/>
    </row>
    <row r="59" spans="1:6">
      <c r="A59" s="218">
        <v>2310</v>
      </c>
      <c r="B59" s="219" t="s">
        <v>51</v>
      </c>
      <c r="C59" s="239">
        <f>ROUND(VLOOKUP(A59,'Contribution Allocation_Report'!$A$9:$D$310,4,FALSE)*$C$311,0)</f>
        <v>24977414</v>
      </c>
      <c r="D59" s="239">
        <f>ROUND(VLOOKUP(A59,'Contribution Allocation_Report'!$A$9:$D$310,4,FALSE)*$D$311,0)</f>
        <v>31053992</v>
      </c>
      <c r="E59" s="239">
        <f>ROUND(VLOOKUP(A59,'Contribution Allocation_Report'!$A$9:$D$310,4,FALSE)*$E$311,0)</f>
        <v>35947462</v>
      </c>
      <c r="F59" s="182"/>
    </row>
    <row r="60" spans="1:6">
      <c r="A60" s="220">
        <v>2330</v>
      </c>
      <c r="B60" s="221" t="s">
        <v>52</v>
      </c>
      <c r="C60" s="240">
        <f>ROUND(VLOOKUP(A60,'Contribution Allocation_Report'!$A$9:$D$310,4,FALSE)*$C$311,0)</f>
        <v>8390203</v>
      </c>
      <c r="D60" s="240">
        <f>ROUND(VLOOKUP(A60,'Contribution Allocation_Report'!$A$9:$D$310,4,FALSE)*$D$311,0)</f>
        <v>10431396</v>
      </c>
      <c r="E60" s="240">
        <f>ROUND(VLOOKUP(A60,'Contribution Allocation_Report'!$A$9:$D$310,4,FALSE)*$E$311,0)</f>
        <v>12075169</v>
      </c>
      <c r="F60" s="182"/>
    </row>
    <row r="61" spans="1:6">
      <c r="A61" s="218">
        <v>2380</v>
      </c>
      <c r="B61" s="219" t="s">
        <v>53</v>
      </c>
      <c r="C61" s="239">
        <f>ROUND(VLOOKUP(A61,'Contribution Allocation_Report'!$A$9:$D$310,4,FALSE)*$C$311,0)</f>
        <v>1230094</v>
      </c>
      <c r="D61" s="239">
        <f>ROUND(VLOOKUP(A61,'Contribution Allocation_Report'!$A$9:$D$310,4,FALSE)*$D$311,0)</f>
        <v>1529355</v>
      </c>
      <c r="E61" s="239">
        <f>ROUND(VLOOKUP(A61,'Contribution Allocation_Report'!$A$9:$D$310,4,FALSE)*$E$311,0)</f>
        <v>1770349</v>
      </c>
      <c r="F61" s="182"/>
    </row>
    <row r="62" spans="1:6">
      <c r="A62" s="220">
        <v>2400</v>
      </c>
      <c r="B62" s="221" t="s">
        <v>54</v>
      </c>
      <c r="C62" s="240">
        <f>ROUND(VLOOKUP(A62,'Contribution Allocation_Report'!$A$9:$D$310,4,FALSE)*$C$311,0)</f>
        <v>42610787</v>
      </c>
      <c r="D62" s="240">
        <f>ROUND(VLOOKUP(A62,'Contribution Allocation_Report'!$A$9:$D$310,4,FALSE)*$D$311,0)</f>
        <v>52977264</v>
      </c>
      <c r="E62" s="240">
        <f>ROUND(VLOOKUP(A62,'Contribution Allocation_Report'!$A$9:$D$310,4,FALSE)*$E$311,0)</f>
        <v>61325389</v>
      </c>
      <c r="F62" s="182"/>
    </row>
    <row r="63" spans="1:6">
      <c r="A63" s="218">
        <v>2410</v>
      </c>
      <c r="B63" s="219" t="s">
        <v>55</v>
      </c>
      <c r="C63" s="239">
        <f>ROUND(VLOOKUP(A63,'Contribution Allocation_Report'!$A$9:$D$310,4,FALSE)*$C$311,0)</f>
        <v>5195082</v>
      </c>
      <c r="D63" s="239">
        <f>ROUND(VLOOKUP(A63,'Contribution Allocation_Report'!$A$9:$D$310,4,FALSE)*$D$311,0)</f>
        <v>6458957</v>
      </c>
      <c r="E63" s="239">
        <f>ROUND(VLOOKUP(A63,'Contribution Allocation_Report'!$A$9:$D$310,4,FALSE)*$E$311,0)</f>
        <v>7476755</v>
      </c>
      <c r="F63" s="182"/>
    </row>
    <row r="64" spans="1:6">
      <c r="A64" s="220">
        <v>2500</v>
      </c>
      <c r="B64" s="221" t="s">
        <v>56</v>
      </c>
      <c r="C64" s="240">
        <f>ROUND(VLOOKUP(A64,'Contribution Allocation_Report'!$A$9:$D$310,4,FALSE)*$C$311,0)</f>
        <v>755047</v>
      </c>
      <c r="D64" s="240">
        <f>ROUND(VLOOKUP(A64,'Contribution Allocation_Report'!$A$9:$D$310,4,FALSE)*$D$311,0)</f>
        <v>938737</v>
      </c>
      <c r="E64" s="240">
        <f>ROUND(VLOOKUP(A64,'Contribution Allocation_Report'!$A$9:$D$310,4,FALSE)*$E$311,0)</f>
        <v>1086662</v>
      </c>
      <c r="F64" s="182"/>
    </row>
    <row r="65" spans="1:6">
      <c r="A65" s="218">
        <v>2550</v>
      </c>
      <c r="B65" s="219" t="s">
        <v>57</v>
      </c>
      <c r="C65" s="239">
        <f>ROUND(VLOOKUP(A65,'Contribution Allocation_Report'!$A$9:$D$310,4,FALSE)*$C$311,0)</f>
        <v>3124724</v>
      </c>
      <c r="D65" s="239">
        <f>ROUND(VLOOKUP(A65,'Contribution Allocation_Report'!$A$9:$D$310,4,FALSE)*$D$311,0)</f>
        <v>3884916</v>
      </c>
      <c r="E65" s="239">
        <f>ROUND(VLOOKUP(A65,'Contribution Allocation_Report'!$A$9:$D$310,4,FALSE)*$E$311,0)</f>
        <v>4497099</v>
      </c>
      <c r="F65" s="182"/>
    </row>
    <row r="66" spans="1:6">
      <c r="A66" s="220">
        <v>2570</v>
      </c>
      <c r="B66" s="221" t="s">
        <v>58</v>
      </c>
      <c r="C66" s="240">
        <f>ROUND(VLOOKUP(A66,'Contribution Allocation_Report'!$A$9:$D$310,4,FALSE)*$C$311,0)</f>
        <v>1999961</v>
      </c>
      <c r="D66" s="240">
        <f>ROUND(VLOOKUP(A66,'Contribution Allocation_Report'!$A$9:$D$310,4,FALSE)*$D$311,0)</f>
        <v>2486517</v>
      </c>
      <c r="E66" s="240">
        <f>ROUND(VLOOKUP(A66,'Contribution Allocation_Report'!$A$9:$D$310,4,FALSE)*$E$311,0)</f>
        <v>2878341</v>
      </c>
      <c r="F66" s="182"/>
    </row>
    <row r="67" spans="1:6">
      <c r="A67" s="218">
        <v>2620</v>
      </c>
      <c r="B67" s="219" t="s">
        <v>59</v>
      </c>
      <c r="C67" s="239">
        <f>ROUND(VLOOKUP(A67,'Contribution Allocation_Report'!$A$9:$D$310,4,FALSE)*$C$311,0)</f>
        <v>18752314</v>
      </c>
      <c r="D67" s="239">
        <f>ROUND(VLOOKUP(A67,'Contribution Allocation_Report'!$A$9:$D$310,4,FALSE)*$D$311,0)</f>
        <v>23314432</v>
      </c>
      <c r="E67" s="239">
        <f>ROUND(VLOOKUP(A67,'Contribution Allocation_Report'!$A$9:$D$310,4,FALSE)*$E$311,0)</f>
        <v>26988306</v>
      </c>
      <c r="F67" s="182"/>
    </row>
    <row r="68" spans="1:6">
      <c r="A68" s="220">
        <v>2630</v>
      </c>
      <c r="B68" s="221" t="s">
        <v>60</v>
      </c>
      <c r="C68" s="240">
        <f>ROUND(VLOOKUP(A68,'Contribution Allocation_Report'!$A$9:$D$310,4,FALSE)*$C$311,0)</f>
        <v>14429519</v>
      </c>
      <c r="D68" s="240">
        <f>ROUND(VLOOKUP(A68,'Contribution Allocation_Report'!$A$9:$D$310,4,FALSE)*$D$311,0)</f>
        <v>17939974</v>
      </c>
      <c r="E68" s="240">
        <f>ROUND(VLOOKUP(A68,'Contribution Allocation_Report'!$A$9:$D$310,4,FALSE)*$E$311,0)</f>
        <v>20766945</v>
      </c>
      <c r="F68" s="182"/>
    </row>
    <row r="69" spans="1:6">
      <c r="A69" s="218">
        <v>2690</v>
      </c>
      <c r="B69" s="219" t="s">
        <v>61</v>
      </c>
      <c r="C69" s="239">
        <f>ROUND(VLOOKUP(A69,'Contribution Allocation_Report'!$A$9:$D$310,4,FALSE)*$C$311,0)</f>
        <v>36091131</v>
      </c>
      <c r="D69" s="239">
        <f>ROUND(VLOOKUP(A69,'Contribution Allocation_Report'!$A$9:$D$310,4,FALSE)*$D$311,0)</f>
        <v>44871487</v>
      </c>
      <c r="E69" s="239">
        <f>ROUND(VLOOKUP(A69,'Contribution Allocation_Report'!$A$9:$D$310,4,FALSE)*$E$311,0)</f>
        <v>51942309</v>
      </c>
      <c r="F69" s="182"/>
    </row>
    <row r="70" spans="1:6">
      <c r="A70" s="220">
        <v>2710</v>
      </c>
      <c r="B70" s="221" t="s">
        <v>62</v>
      </c>
      <c r="C70" s="240">
        <f>ROUND(VLOOKUP(A70,'Contribution Allocation_Report'!$A$9:$D$310,4,FALSE)*$C$311,0)</f>
        <v>646540</v>
      </c>
      <c r="D70" s="240">
        <f>ROUND(VLOOKUP(A70,'Contribution Allocation_Report'!$A$9:$D$310,4,FALSE)*$D$311,0)</f>
        <v>803832</v>
      </c>
      <c r="E70" s="240">
        <f>ROUND(VLOOKUP(A70,'Contribution Allocation_Report'!$A$9:$D$310,4,FALSE)*$E$311,0)</f>
        <v>930500</v>
      </c>
      <c r="F70" s="182"/>
    </row>
    <row r="71" spans="1:6">
      <c r="A71" s="218">
        <v>2730</v>
      </c>
      <c r="B71" s="219" t="s">
        <v>63</v>
      </c>
      <c r="C71" s="239">
        <f>ROUND(VLOOKUP(A71,'Contribution Allocation_Report'!$A$9:$D$310,4,FALSE)*$C$311,0)</f>
        <v>2662116</v>
      </c>
      <c r="D71" s="239">
        <f>ROUND(VLOOKUP(A71,'Contribution Allocation_Report'!$A$9:$D$310,4,FALSE)*$D$311,0)</f>
        <v>3309763</v>
      </c>
      <c r="E71" s="239">
        <f>ROUND(VLOOKUP(A71,'Contribution Allocation_Report'!$A$9:$D$310,4,FALSE)*$E$311,0)</f>
        <v>3831313</v>
      </c>
      <c r="F71" s="182"/>
    </row>
    <row r="72" spans="1:6">
      <c r="A72" s="220">
        <v>2950</v>
      </c>
      <c r="B72" s="221" t="s">
        <v>64</v>
      </c>
      <c r="C72" s="240">
        <f>ROUND(VLOOKUP(A72,'Contribution Allocation_Report'!$A$9:$D$310,4,FALSE)*$C$311,0)</f>
        <v>2254554</v>
      </c>
      <c r="D72" s="240">
        <f>ROUND(VLOOKUP(A72,'Contribution Allocation_Report'!$A$9:$D$310,4,FALSE)*$D$311,0)</f>
        <v>2803049</v>
      </c>
      <c r="E72" s="240">
        <f>ROUND(VLOOKUP(A72,'Contribution Allocation_Report'!$A$9:$D$310,4,FALSE)*$E$311,0)</f>
        <v>3244752</v>
      </c>
      <c r="F72" s="182"/>
    </row>
    <row r="73" spans="1:6">
      <c r="A73" s="218">
        <v>2760</v>
      </c>
      <c r="B73" s="219" t="s">
        <v>65</v>
      </c>
      <c r="C73" s="239">
        <f>ROUND(VLOOKUP(A73,'Contribution Allocation_Report'!$A$9:$D$310,4,FALSE)*$C$311,0)</f>
        <v>2143666</v>
      </c>
      <c r="D73" s="239">
        <f>ROUND(VLOOKUP(A73,'Contribution Allocation_Report'!$A$9:$D$310,4,FALSE)*$D$311,0)</f>
        <v>2665183</v>
      </c>
      <c r="E73" s="239">
        <f>ROUND(VLOOKUP(A73,'Contribution Allocation_Report'!$A$9:$D$310,4,FALSE)*$E$311,0)</f>
        <v>3085161</v>
      </c>
      <c r="F73" s="182"/>
    </row>
    <row r="74" spans="1:6">
      <c r="A74" s="220">
        <v>2780</v>
      </c>
      <c r="B74" s="221" t="s">
        <v>66</v>
      </c>
      <c r="C74" s="240">
        <f>ROUND(VLOOKUP(A74,'Contribution Allocation_Report'!$A$9:$D$310,4,FALSE)*$C$311,0)</f>
        <v>192401</v>
      </c>
      <c r="D74" s="240">
        <f>ROUND(VLOOKUP(A74,'Contribution Allocation_Report'!$A$9:$D$310,4,FALSE)*$D$311,0)</f>
        <v>239208</v>
      </c>
      <c r="E74" s="240">
        <f>ROUND(VLOOKUP(A74,'Contribution Allocation_Report'!$A$9:$D$310,4,FALSE)*$E$311,0)</f>
        <v>276903</v>
      </c>
      <c r="F74" s="182"/>
    </row>
    <row r="75" spans="1:6">
      <c r="A75" s="218">
        <v>2810</v>
      </c>
      <c r="B75" s="219" t="s">
        <v>67</v>
      </c>
      <c r="C75" s="239">
        <f>ROUND(VLOOKUP(A75,'Contribution Allocation_Report'!$A$9:$D$310,4,FALSE)*$C$311,0)</f>
        <v>1507712</v>
      </c>
      <c r="D75" s="239">
        <f>ROUND(VLOOKUP(A75,'Contribution Allocation_Report'!$A$9:$D$310,4,FALSE)*$D$311,0)</f>
        <v>1874512</v>
      </c>
      <c r="E75" s="239">
        <f>ROUND(VLOOKUP(A75,'Contribution Allocation_Report'!$A$9:$D$310,4,FALSE)*$E$311,0)</f>
        <v>2169897</v>
      </c>
      <c r="F75" s="182"/>
    </row>
    <row r="76" spans="1:6">
      <c r="A76" s="220">
        <v>18056</v>
      </c>
      <c r="B76" s="221" t="s">
        <v>68</v>
      </c>
      <c r="C76" s="240">
        <f>ROUND(VLOOKUP(A76,'Contribution Allocation_Report'!$A$9:$D$310,4,FALSE)*$C$311,0)</f>
        <v>1789564</v>
      </c>
      <c r="D76" s="240">
        <f>ROUND(VLOOKUP(A76,'Contribution Allocation_Report'!$A$9:$D$310,4,FALSE)*$D$311,0)</f>
        <v>2224935</v>
      </c>
      <c r="E76" s="240">
        <f>ROUND(VLOOKUP(A76,'Contribution Allocation_Report'!$A$9:$D$310,4,FALSE)*$E$311,0)</f>
        <v>2575538</v>
      </c>
      <c r="F76" s="182"/>
    </row>
    <row r="77" spans="1:6">
      <c r="A77" s="218">
        <v>15047</v>
      </c>
      <c r="B77" s="219" t="s">
        <v>69</v>
      </c>
      <c r="C77" s="239">
        <f>ROUND(VLOOKUP(A77,'Contribution Allocation_Report'!$A$9:$D$310,4,FALSE)*$C$311,0)</f>
        <v>1631039</v>
      </c>
      <c r="D77" s="239">
        <f>ROUND(VLOOKUP(A77,'Contribution Allocation_Report'!$A$9:$D$310,4,FALSE)*$D$311,0)</f>
        <v>2027843</v>
      </c>
      <c r="E77" s="239">
        <f>ROUND(VLOOKUP(A77,'Contribution Allocation_Report'!$A$9:$D$310,4,FALSE)*$E$311,0)</f>
        <v>2347389</v>
      </c>
      <c r="F77" s="182"/>
    </row>
    <row r="78" spans="1:6">
      <c r="A78" s="220">
        <v>5012</v>
      </c>
      <c r="B78" s="249" t="s">
        <v>70</v>
      </c>
      <c r="C78" s="272">
        <f>ROUND(VLOOKUP(A78,'Contribution Allocation_Report'!$A$9:$D$310,4,FALSE)*$C$311,0)</f>
        <v>27052271</v>
      </c>
      <c r="D78" s="272">
        <f>ROUND(VLOOKUP(A78,'Contribution Allocation_Report'!$A$9:$D$310,4,FALSE)*$D$311,0)</f>
        <v>33633627</v>
      </c>
      <c r="E78" s="272">
        <f>ROUND(VLOOKUP(A78,'Contribution Allocation_Report'!$A$9:$D$310,4,FALSE)*$E$311,0)</f>
        <v>38933593</v>
      </c>
      <c r="F78" s="182"/>
    </row>
    <row r="79" spans="1:6">
      <c r="A79" s="218">
        <v>8024</v>
      </c>
      <c r="B79" s="219" t="s">
        <v>71</v>
      </c>
      <c r="C79" s="239">
        <f>ROUND(VLOOKUP(A79,'Contribution Allocation_Report'!$A$9:$D$310,4,FALSE)*$C$311,0)</f>
        <v>5724118</v>
      </c>
      <c r="D79" s="239">
        <f>ROUND(VLOOKUP(A79,'Contribution Allocation_Report'!$A$9:$D$310,4,FALSE)*$D$311,0)</f>
        <v>7116698</v>
      </c>
      <c r="E79" s="239">
        <f>ROUND(VLOOKUP(A79,'Contribution Allocation_Report'!$A$9:$D$310,4,FALSE)*$E$311,0)</f>
        <v>8238143</v>
      </c>
      <c r="F79" s="182"/>
    </row>
    <row r="80" spans="1:6">
      <c r="A80" s="220">
        <v>3050</v>
      </c>
      <c r="B80" s="221" t="s">
        <v>72</v>
      </c>
      <c r="C80" s="240">
        <f>ROUND(VLOOKUP(A80,'Contribution Allocation_Report'!$A$9:$D$310,4,FALSE)*$C$311,0)</f>
        <v>1878487</v>
      </c>
      <c r="D80" s="240">
        <f>ROUND(VLOOKUP(A80,'Contribution Allocation_Report'!$A$9:$D$310,4,FALSE)*$D$311,0)</f>
        <v>2335490</v>
      </c>
      <c r="E80" s="240">
        <f>ROUND(VLOOKUP(A80,'Contribution Allocation_Report'!$A$9:$D$310,4,FALSE)*$E$311,0)</f>
        <v>2703515</v>
      </c>
      <c r="F80" s="182"/>
    </row>
    <row r="81" spans="1:6">
      <c r="A81" s="218">
        <v>2421</v>
      </c>
      <c r="B81" s="219" t="s">
        <v>73</v>
      </c>
      <c r="C81" s="239">
        <f>ROUND(VLOOKUP(A81,'Contribution Allocation_Report'!$A$9:$D$310,4,FALSE)*$C$311,0)</f>
        <v>676975</v>
      </c>
      <c r="D81" s="239">
        <f>ROUND(VLOOKUP(A81,'Contribution Allocation_Report'!$A$9:$D$310,4,FALSE)*$D$311,0)</f>
        <v>841671</v>
      </c>
      <c r="E81" s="239">
        <f>ROUND(VLOOKUP(A81,'Contribution Allocation_Report'!$A$9:$D$310,4,FALSE)*$E$311,0)</f>
        <v>974302</v>
      </c>
      <c r="F81" s="182"/>
    </row>
    <row r="82" spans="1:6">
      <c r="A82" s="220">
        <v>26079</v>
      </c>
      <c r="B82" s="221" t="s">
        <v>74</v>
      </c>
      <c r="C82" s="240">
        <f>ROUND(VLOOKUP(A82,'Contribution Allocation_Report'!$A$9:$D$310,4,FALSE)*$C$311,0)</f>
        <v>603932</v>
      </c>
      <c r="D82" s="240">
        <f>ROUND(VLOOKUP(A82,'Contribution Allocation_Report'!$A$9:$D$310,4,FALSE)*$D$311,0)</f>
        <v>750858</v>
      </c>
      <c r="E82" s="240">
        <f>ROUND(VLOOKUP(A82,'Contribution Allocation_Report'!$A$9:$D$310,4,FALSE)*$E$311,0)</f>
        <v>869178</v>
      </c>
      <c r="F82" s="182"/>
    </row>
    <row r="83" spans="1:6">
      <c r="A83" s="218">
        <v>2363</v>
      </c>
      <c r="B83" s="219" t="s">
        <v>75</v>
      </c>
      <c r="C83" s="239">
        <f>ROUND(VLOOKUP(A83,'Contribution Allocation_Report'!$A$9:$D$310,4,FALSE)*$C$311,0)</f>
        <v>786805</v>
      </c>
      <c r="D83" s="239">
        <f>ROUND(VLOOKUP(A83,'Contribution Allocation_Report'!$A$9:$D$310,4,FALSE)*$D$311,0)</f>
        <v>978221</v>
      </c>
      <c r="E83" s="239">
        <f>ROUND(VLOOKUP(A83,'Contribution Allocation_Report'!$A$9:$D$310,4,FALSE)*$E$311,0)</f>
        <v>1132368</v>
      </c>
      <c r="F83" s="182"/>
    </row>
    <row r="84" spans="1:6">
      <c r="A84" s="220">
        <v>2364</v>
      </c>
      <c r="B84" s="221" t="s">
        <v>76</v>
      </c>
      <c r="C84" s="240">
        <f>ROUND(VLOOKUP(A84,'Contribution Allocation_Report'!$A$9:$D$310,4,FALSE)*$C$311,0)</f>
        <v>2036747</v>
      </c>
      <c r="D84" s="240">
        <f>ROUND(VLOOKUP(A84,'Contribution Allocation_Report'!$A$9:$D$310,4,FALSE)*$D$311,0)</f>
        <v>2532253</v>
      </c>
      <c r="E84" s="240">
        <f>ROUND(VLOOKUP(A84,'Contribution Allocation_Report'!$A$9:$D$310,4,FALSE)*$E$311,0)</f>
        <v>2931284</v>
      </c>
      <c r="F84" s="182"/>
    </row>
    <row r="85" spans="1:6">
      <c r="A85" s="218">
        <v>25319</v>
      </c>
      <c r="B85" s="219" t="s">
        <v>77</v>
      </c>
      <c r="C85" s="239">
        <f>ROUND(VLOOKUP(A85,'Contribution Allocation_Report'!$A$9:$D$310,4,FALSE)*$C$311,0)</f>
        <v>618752</v>
      </c>
      <c r="D85" s="239">
        <f>ROUND(VLOOKUP(A85,'Contribution Allocation_Report'!$A$9:$D$310,4,FALSE)*$D$311,0)</f>
        <v>769284</v>
      </c>
      <c r="E85" s="239">
        <f>ROUND(VLOOKUP(A85,'Contribution Allocation_Report'!$A$9:$D$310,4,FALSE)*$E$311,0)</f>
        <v>890507</v>
      </c>
      <c r="F85" s="182"/>
    </row>
    <row r="86" spans="1:6">
      <c r="A86" s="220">
        <v>29087</v>
      </c>
      <c r="B86" s="221" t="s">
        <v>78</v>
      </c>
      <c r="C86" s="240">
        <f>ROUND(VLOOKUP(A86,'Contribution Allocation_Report'!$A$9:$D$310,4,FALSE)*$C$311,0)</f>
        <v>3584686</v>
      </c>
      <c r="D86" s="240">
        <f>ROUND(VLOOKUP(A86,'Contribution Allocation_Report'!$A$9:$D$310,4,FALSE)*$D$311,0)</f>
        <v>4456779</v>
      </c>
      <c r="E86" s="240">
        <f>ROUND(VLOOKUP(A86,'Contribution Allocation_Report'!$A$9:$D$310,4,FALSE)*$E$311,0)</f>
        <v>5159075</v>
      </c>
      <c r="F86" s="182"/>
    </row>
    <row r="87" spans="1:6">
      <c r="A87" s="218">
        <v>3060</v>
      </c>
      <c r="B87" s="219" t="s">
        <v>79</v>
      </c>
      <c r="C87" s="239">
        <f>ROUND(VLOOKUP(A87,'Contribution Allocation_Report'!$A$9:$D$310,4,FALSE)*$C$311,0)</f>
        <v>3163363</v>
      </c>
      <c r="D87" s="239">
        <f>ROUND(VLOOKUP(A87,'Contribution Allocation_Report'!$A$9:$D$310,4,FALSE)*$D$311,0)</f>
        <v>3932955</v>
      </c>
      <c r="E87" s="239">
        <f>ROUND(VLOOKUP(A87,'Contribution Allocation_Report'!$A$9:$D$310,4,FALSE)*$E$311,0)</f>
        <v>4552708</v>
      </c>
      <c r="F87" s="182"/>
    </row>
    <row r="88" spans="1:6">
      <c r="A88" s="220">
        <v>19301</v>
      </c>
      <c r="B88" s="221" t="s">
        <v>80</v>
      </c>
      <c r="C88" s="240">
        <f>ROUND(VLOOKUP(A88,'Contribution Allocation_Report'!$A$9:$D$310,4,FALSE)*$C$311,0)</f>
        <v>472930</v>
      </c>
      <c r="D88" s="240">
        <f>ROUND(VLOOKUP(A88,'Contribution Allocation_Report'!$A$9:$D$310,4,FALSE)*$D$311,0)</f>
        <v>587986</v>
      </c>
      <c r="E88" s="240">
        <f>ROUND(VLOOKUP(A88,'Contribution Allocation_Report'!$A$9:$D$310,4,FALSE)*$E$311,0)</f>
        <v>680640</v>
      </c>
      <c r="F88" s="182"/>
    </row>
    <row r="89" spans="1:6">
      <c r="A89" s="218">
        <v>19059</v>
      </c>
      <c r="B89" s="219" t="s">
        <v>81</v>
      </c>
      <c r="C89" s="239">
        <f>ROUND(VLOOKUP(A89,'Contribution Allocation_Report'!$A$9:$D$310,4,FALSE)*$C$311,0)</f>
        <v>18536889</v>
      </c>
      <c r="D89" s="239">
        <f>ROUND(VLOOKUP(A89,'Contribution Allocation_Report'!$A$9:$D$310,4,FALSE)*$D$311,0)</f>
        <v>23046597</v>
      </c>
      <c r="E89" s="239">
        <f>ROUND(VLOOKUP(A89,'Contribution Allocation_Report'!$A$9:$D$310,4,FALSE)*$E$311,0)</f>
        <v>26678266</v>
      </c>
      <c r="F89" s="182"/>
    </row>
    <row r="90" spans="1:6">
      <c r="A90" s="220">
        <v>18057</v>
      </c>
      <c r="B90" s="221" t="s">
        <v>82</v>
      </c>
      <c r="C90" s="240">
        <f>ROUND(VLOOKUP(A90,'Contribution Allocation_Report'!$A$9:$D$310,4,FALSE)*$C$311,0)</f>
        <v>679092</v>
      </c>
      <c r="D90" s="240">
        <f>ROUND(VLOOKUP(A90,'Contribution Allocation_Report'!$A$9:$D$310,4,FALSE)*$D$311,0)</f>
        <v>844304</v>
      </c>
      <c r="E90" s="240">
        <f>ROUND(VLOOKUP(A90,'Contribution Allocation_Report'!$A$9:$D$310,4,FALSE)*$E$311,0)</f>
        <v>977349</v>
      </c>
      <c r="F90" s="182"/>
    </row>
    <row r="91" spans="1:6">
      <c r="A91" s="218">
        <v>4008</v>
      </c>
      <c r="B91" s="219" t="s">
        <v>83</v>
      </c>
      <c r="C91" s="239">
        <f>ROUND(VLOOKUP(A91,'Contribution Allocation_Report'!$A$9:$D$310,4,FALSE)*$C$311,0)</f>
        <v>3093760</v>
      </c>
      <c r="D91" s="239">
        <f>ROUND(VLOOKUP(A91,'Contribution Allocation_Report'!$A$9:$D$310,4,FALSE)*$D$311,0)</f>
        <v>3846419</v>
      </c>
      <c r="E91" s="239">
        <f>ROUND(VLOOKUP(A91,'Contribution Allocation_Report'!$A$9:$D$310,4,FALSE)*$E$311,0)</f>
        <v>4452535</v>
      </c>
      <c r="F91" s="182"/>
    </row>
    <row r="92" spans="1:6">
      <c r="A92" s="220">
        <v>2350</v>
      </c>
      <c r="B92" s="221" t="s">
        <v>84</v>
      </c>
      <c r="C92" s="240">
        <f>ROUND(VLOOKUP(A92,'Contribution Allocation_Report'!$A$9:$D$310,4,FALSE)*$C$311,0)</f>
        <v>1023137</v>
      </c>
      <c r="D92" s="240">
        <f>ROUND(VLOOKUP(A92,'Contribution Allocation_Report'!$A$9:$D$310,4,FALSE)*$D$311,0)</f>
        <v>1272049</v>
      </c>
      <c r="E92" s="240">
        <f>ROUND(VLOOKUP(A92,'Contribution Allocation_Report'!$A$9:$D$310,4,FALSE)*$E$311,0)</f>
        <v>1472498</v>
      </c>
      <c r="F92" s="182"/>
    </row>
    <row r="93" spans="1:6">
      <c r="A93" s="218">
        <v>11117</v>
      </c>
      <c r="B93" s="219" t="s">
        <v>85</v>
      </c>
      <c r="C93" s="239">
        <f>ROUND(VLOOKUP(A93,'Contribution Allocation_Report'!$A$9:$D$310,4,FALSE)*$C$311,0)</f>
        <v>1145141</v>
      </c>
      <c r="D93" s="239">
        <f>ROUND(VLOOKUP(A93,'Contribution Allocation_Report'!$A$9:$D$310,4,FALSE)*$D$311,0)</f>
        <v>1423734</v>
      </c>
      <c r="E93" s="239">
        <f>ROUND(VLOOKUP(A93,'Contribution Allocation_Report'!$A$9:$D$310,4,FALSE)*$E$311,0)</f>
        <v>1648086</v>
      </c>
      <c r="F93" s="182"/>
    </row>
    <row r="94" spans="1:6">
      <c r="A94" s="220">
        <v>16359</v>
      </c>
      <c r="B94" s="221" t="s">
        <v>86</v>
      </c>
      <c r="C94" s="240">
        <f>ROUND(VLOOKUP(A94,'Contribution Allocation_Report'!$A$9:$D$310,4,FALSE)*$C$311,0)</f>
        <v>184461</v>
      </c>
      <c r="D94" s="240">
        <f>ROUND(VLOOKUP(A94,'Contribution Allocation_Report'!$A$9:$D$310,4,FALSE)*$D$311,0)</f>
        <v>229337</v>
      </c>
      <c r="E94" s="240">
        <f>ROUND(VLOOKUP(A94,'Contribution Allocation_Report'!$A$9:$D$310,4,FALSE)*$E$311,0)</f>
        <v>265476</v>
      </c>
      <c r="F94" s="182"/>
    </row>
    <row r="95" spans="1:6">
      <c r="A95" s="218">
        <v>17115</v>
      </c>
      <c r="B95" s="219" t="s">
        <v>87</v>
      </c>
      <c r="C95" s="239">
        <f>ROUND(VLOOKUP(A95,'Contribution Allocation_Report'!$A$9:$D$310,4,FALSE)*$C$311,0)</f>
        <v>3191680</v>
      </c>
      <c r="D95" s="239">
        <f>ROUND(VLOOKUP(A95,'Contribution Allocation_Report'!$A$9:$D$310,4,FALSE)*$D$311,0)</f>
        <v>3968162</v>
      </c>
      <c r="E95" s="239">
        <f>ROUND(VLOOKUP(A95,'Contribution Allocation_Report'!$A$9:$D$310,4,FALSE)*$E$311,0)</f>
        <v>4593462</v>
      </c>
      <c r="F95" s="182"/>
    </row>
    <row r="96" spans="1:6">
      <c r="A96" s="220">
        <v>32117</v>
      </c>
      <c r="B96" s="221" t="s">
        <v>88</v>
      </c>
      <c r="C96" s="240">
        <f>ROUND(VLOOKUP(A96,'Contribution Allocation_Report'!$A$9:$D$310,4,FALSE)*$C$311,0)</f>
        <v>210132</v>
      </c>
      <c r="D96" s="240">
        <f>ROUND(VLOOKUP(A96,'Contribution Allocation_Report'!$A$9:$D$310,4,FALSE)*$D$311,0)</f>
        <v>261254</v>
      </c>
      <c r="E96" s="240">
        <f>ROUND(VLOOKUP(A96,'Contribution Allocation_Report'!$A$9:$D$310,4,FALSE)*$E$311,0)</f>
        <v>302422</v>
      </c>
      <c r="F96" s="182"/>
    </row>
    <row r="97" spans="1:6">
      <c r="A97" s="218">
        <v>2304</v>
      </c>
      <c r="B97" s="219" t="s">
        <v>89</v>
      </c>
      <c r="C97" s="239">
        <f>ROUND(VLOOKUP(A97,'Contribution Allocation_Report'!$A$9:$D$310,4,FALSE)*$C$311,0)</f>
        <v>1236445</v>
      </c>
      <c r="D97" s="239">
        <f>ROUND(VLOOKUP(A97,'Contribution Allocation_Report'!$A$9:$D$310,4,FALSE)*$D$311,0)</f>
        <v>1537251</v>
      </c>
      <c r="E97" s="239">
        <f>ROUND(VLOOKUP(A97,'Contribution Allocation_Report'!$A$9:$D$310,4,FALSE)*$E$311,0)</f>
        <v>1779491</v>
      </c>
      <c r="F97" s="182"/>
    </row>
    <row r="98" spans="1:6">
      <c r="A98" s="220">
        <v>11101</v>
      </c>
      <c r="B98" s="221" t="s">
        <v>91</v>
      </c>
      <c r="C98" s="240">
        <f>ROUND(VLOOKUP(A98,'Contribution Allocation_Report'!$A$9:$D$310,4,FALSE)*$C$311,0)</f>
        <v>16785963</v>
      </c>
      <c r="D98" s="240">
        <f>ROUND(VLOOKUP(A98,'Contribution Allocation_Report'!$A$9:$D$310,4,FALSE)*$D$311,0)</f>
        <v>20869702</v>
      </c>
      <c r="E98" s="240">
        <f>ROUND(VLOOKUP(A98,'Contribution Allocation_Report'!$A$9:$D$310,4,FALSE)*$E$311,0)</f>
        <v>24158337</v>
      </c>
      <c r="F98" s="182"/>
    </row>
    <row r="99" spans="1:6">
      <c r="A99" s="218">
        <v>11102</v>
      </c>
      <c r="B99" s="219" t="s">
        <v>90</v>
      </c>
      <c r="C99" s="239">
        <f>ROUND(VLOOKUP(A99,'Contribution Allocation_Report'!$A$9:$D$310,4,FALSE)*$C$311,0)</f>
        <v>5267067</v>
      </c>
      <c r="D99" s="239">
        <f>ROUND(VLOOKUP(A99,'Contribution Allocation_Report'!$A$9:$D$310,4,FALSE)*$D$311,0)</f>
        <v>6548454</v>
      </c>
      <c r="E99" s="239">
        <f>ROUND(VLOOKUP(A99,'Contribution Allocation_Report'!$A$9:$D$310,4,FALSE)*$E$311,0)</f>
        <v>7580356</v>
      </c>
      <c r="F99" s="182"/>
    </row>
    <row r="100" spans="1:6">
      <c r="A100" s="220">
        <v>3100</v>
      </c>
      <c r="B100" s="221" t="s">
        <v>92</v>
      </c>
      <c r="C100" s="240">
        <f>ROUND(VLOOKUP(A100,'Contribution Allocation_Report'!$A$9:$D$310,4,FALSE)*$C$311,0)</f>
        <v>11963773</v>
      </c>
      <c r="D100" s="240">
        <f>ROUND(VLOOKUP(A100,'Contribution Allocation_Report'!$A$9:$D$310,4,FALSE)*$D$311,0)</f>
        <v>14874355</v>
      </c>
      <c r="E100" s="240">
        <f>ROUND(VLOOKUP(A100,'Contribution Allocation_Report'!$A$9:$D$310,4,FALSE)*$E$311,0)</f>
        <v>17218247</v>
      </c>
      <c r="F100" s="182"/>
    </row>
    <row r="101" spans="1:6">
      <c r="A101" s="218">
        <v>2323</v>
      </c>
      <c r="B101" s="219" t="s">
        <v>93</v>
      </c>
      <c r="C101" s="239">
        <f>ROUND(VLOOKUP(A101,'Contribution Allocation_Report'!$A$9:$D$310,4,FALSE)*$C$311,0)</f>
        <v>1141171</v>
      </c>
      <c r="D101" s="239">
        <f>ROUND(VLOOKUP(A101,'Contribution Allocation_Report'!$A$9:$D$310,4,FALSE)*$D$311,0)</f>
        <v>1418799</v>
      </c>
      <c r="E101" s="239">
        <f>ROUND(VLOOKUP(A101,'Contribution Allocation_Report'!$A$9:$D$310,4,FALSE)*$E$311,0)</f>
        <v>1642372</v>
      </c>
      <c r="F101" s="182"/>
    </row>
    <row r="102" spans="1:6">
      <c r="A102" s="220">
        <v>11034</v>
      </c>
      <c r="B102" s="221" t="s">
        <v>94</v>
      </c>
      <c r="C102" s="240">
        <f>ROUND(VLOOKUP(A102,'Contribution Allocation_Report'!$A$9:$D$310,4,FALSE)*$C$311,0)</f>
        <v>830207</v>
      </c>
      <c r="D102" s="240">
        <f>ROUND(VLOOKUP(A102,'Contribution Allocation_Report'!$A$9:$D$310,4,FALSE)*$D$311,0)</f>
        <v>1032183</v>
      </c>
      <c r="E102" s="240">
        <f>ROUND(VLOOKUP(A102,'Contribution Allocation_Report'!$A$9:$D$310,4,FALSE)*$E$311,0)</f>
        <v>1194833</v>
      </c>
      <c r="F102" s="182"/>
    </row>
    <row r="103" spans="1:6">
      <c r="A103" s="218">
        <v>17054</v>
      </c>
      <c r="B103" s="219" t="s">
        <v>95</v>
      </c>
      <c r="C103" s="239">
        <f>ROUND(VLOOKUP(A103,'Contribution Allocation_Report'!$A$9:$D$310,4,FALSE)*$C$311,0)</f>
        <v>12841089</v>
      </c>
      <c r="D103" s="239">
        <f>ROUND(VLOOKUP(A103,'Contribution Allocation_Report'!$A$9:$D$310,4,FALSE)*$D$311,0)</f>
        <v>15965106</v>
      </c>
      <c r="E103" s="239">
        <f>ROUND(VLOOKUP(A103,'Contribution Allocation_Report'!$A$9:$D$310,4,FALSE)*$E$311,0)</f>
        <v>18480878</v>
      </c>
      <c r="F103" s="182"/>
    </row>
    <row r="104" spans="1:6">
      <c r="A104" s="220">
        <v>22065</v>
      </c>
      <c r="B104" s="221" t="s">
        <v>96</v>
      </c>
      <c r="C104" s="240">
        <f>ROUND(VLOOKUP(A104,'Contribution Allocation_Report'!$A$9:$D$310,4,FALSE)*$C$311,0)</f>
        <v>2685669</v>
      </c>
      <c r="D104" s="240">
        <f>ROUND(VLOOKUP(A104,'Contribution Allocation_Report'!$A$9:$D$310,4,FALSE)*$D$311,0)</f>
        <v>3339047</v>
      </c>
      <c r="E104" s="240">
        <f>ROUND(VLOOKUP(A104,'Contribution Allocation_Report'!$A$9:$D$310,4,FALSE)*$E$311,0)</f>
        <v>3865212</v>
      </c>
      <c r="F104" s="182"/>
    </row>
    <row r="105" spans="1:6">
      <c r="A105" s="218">
        <v>22201</v>
      </c>
      <c r="B105" s="219" t="s">
        <v>97</v>
      </c>
      <c r="C105" s="239">
        <f>ROUND(VLOOKUP(A105,'Contribution Allocation_Report'!$A$9:$D$310,4,FALSE)*$C$311,0)</f>
        <v>1334101</v>
      </c>
      <c r="D105" s="239">
        <f>ROUND(VLOOKUP(A105,'Contribution Allocation_Report'!$A$9:$D$310,4,FALSE)*$D$311,0)</f>
        <v>1658665</v>
      </c>
      <c r="E105" s="239">
        <f>ROUND(VLOOKUP(A105,'Contribution Allocation_Report'!$A$9:$D$310,4,FALSE)*$E$311,0)</f>
        <v>1920037</v>
      </c>
      <c r="F105" s="182"/>
    </row>
    <row r="106" spans="1:6">
      <c r="A106" s="220">
        <v>6016</v>
      </c>
      <c r="B106" s="221" t="s">
        <v>98</v>
      </c>
      <c r="C106" s="240">
        <f>ROUND(VLOOKUP(A106,'Contribution Allocation_Report'!$A$9:$D$310,4,FALSE)*$C$311,0)</f>
        <v>2707635</v>
      </c>
      <c r="D106" s="240">
        <f>ROUND(VLOOKUP(A106,'Contribution Allocation_Report'!$A$9:$D$310,4,FALSE)*$D$311,0)</f>
        <v>3366357</v>
      </c>
      <c r="E106" s="240">
        <f>ROUND(VLOOKUP(A106,'Contribution Allocation_Report'!$A$9:$D$310,4,FALSE)*$E$311,0)</f>
        <v>3896825</v>
      </c>
      <c r="F106" s="182"/>
    </row>
    <row r="107" spans="1:6">
      <c r="A107" s="218">
        <v>2432</v>
      </c>
      <c r="B107" s="219" t="s">
        <v>99</v>
      </c>
      <c r="C107" s="239">
        <f>ROUND(VLOOKUP(A107,'Contribution Allocation_Report'!$A$9:$D$310,4,FALSE)*$C$311,0)</f>
        <v>1930358</v>
      </c>
      <c r="D107" s="239">
        <f>ROUND(VLOOKUP(A107,'Contribution Allocation_Report'!$A$9:$D$310,4,FALSE)*$D$311,0)</f>
        <v>2399981</v>
      </c>
      <c r="E107" s="239">
        <f>ROUND(VLOOKUP(A107,'Contribution Allocation_Report'!$A$9:$D$310,4,FALSE)*$E$311,0)</f>
        <v>2778169</v>
      </c>
      <c r="F107" s="182"/>
    </row>
    <row r="108" spans="1:6">
      <c r="A108" s="220">
        <v>16052</v>
      </c>
      <c r="B108" s="221" t="s">
        <v>100</v>
      </c>
      <c r="C108" s="240">
        <f>ROUND(VLOOKUP(A108,'Contribution Allocation_Report'!$A$9:$D$310,4,FALSE)*$C$311,0)</f>
        <v>35669544</v>
      </c>
      <c r="D108" s="240">
        <f>ROUND(VLOOKUP(A108,'Contribution Allocation_Report'!$A$9:$D$310,4,FALSE)*$D$311,0)</f>
        <v>44347334</v>
      </c>
      <c r="E108" s="240">
        <f>ROUND(VLOOKUP(A108,'Contribution Allocation_Report'!$A$9:$D$310,4,FALSE)*$E$311,0)</f>
        <v>51335561</v>
      </c>
      <c r="F108" s="182"/>
    </row>
    <row r="109" spans="1:6">
      <c r="A109" s="218">
        <v>11118</v>
      </c>
      <c r="B109" s="219" t="s">
        <v>101</v>
      </c>
      <c r="C109" s="239">
        <f>ROUND(VLOOKUP(A109,'Contribution Allocation_Report'!$A$9:$D$310,4,FALSE)*$C$311,0)</f>
        <v>927334</v>
      </c>
      <c r="D109" s="239">
        <f>ROUND(VLOOKUP(A109,'Contribution Allocation_Report'!$A$9:$D$310,4,FALSE)*$D$311,0)</f>
        <v>1152939</v>
      </c>
      <c r="E109" s="239">
        <f>ROUND(VLOOKUP(A109,'Contribution Allocation_Report'!$A$9:$D$310,4,FALSE)*$E$311,0)</f>
        <v>1334618</v>
      </c>
      <c r="F109" s="182"/>
    </row>
    <row r="110" spans="1:6">
      <c r="A110" s="220">
        <v>27083</v>
      </c>
      <c r="B110" s="221" t="s">
        <v>102</v>
      </c>
      <c r="C110" s="240">
        <f>ROUND(VLOOKUP(A110,'Contribution Allocation_Report'!$A$9:$D$310,4,FALSE)*$C$311,0)</f>
        <v>1453723</v>
      </c>
      <c r="D110" s="240">
        <f>ROUND(VLOOKUP(A110,'Contribution Allocation_Report'!$A$9:$D$310,4,FALSE)*$D$311,0)</f>
        <v>1807389</v>
      </c>
      <c r="E110" s="240">
        <f>ROUND(VLOOKUP(A110,'Contribution Allocation_Report'!$A$9:$D$310,4,FALSE)*$E$311,0)</f>
        <v>2092196</v>
      </c>
      <c r="F110" s="182"/>
    </row>
    <row r="111" spans="1:6">
      <c r="A111" s="218">
        <v>7021</v>
      </c>
      <c r="B111" s="219" t="s">
        <v>103</v>
      </c>
      <c r="C111" s="239">
        <f>ROUND(VLOOKUP(A111,'Contribution Allocation_Report'!$A$9:$D$310,4,FALSE)*$C$311,0)</f>
        <v>48455850</v>
      </c>
      <c r="D111" s="239">
        <f>ROUND(VLOOKUP(A111,'Contribution Allocation_Report'!$A$9:$D$310,4,FALSE)*$D$311,0)</f>
        <v>60244330</v>
      </c>
      <c r="E111" s="239">
        <f>ROUND(VLOOKUP(A111,'Contribution Allocation_Report'!$A$9:$D$310,4,FALSE)*$E$311,0)</f>
        <v>69737596</v>
      </c>
      <c r="F111" s="182"/>
    </row>
    <row r="112" spans="1:6">
      <c r="A112" s="220">
        <v>4140</v>
      </c>
      <c r="B112" s="221" t="s">
        <v>104</v>
      </c>
      <c r="C112" s="240">
        <f>ROUND(VLOOKUP(A112,'Contribution Allocation_Report'!$A$9:$D$310,4,FALSE)*$C$311,0)</f>
        <v>315728</v>
      </c>
      <c r="D112" s="240">
        <f>ROUND(VLOOKUP(A112,'Contribution Allocation_Report'!$A$9:$D$310,4,FALSE)*$D$311,0)</f>
        <v>392539</v>
      </c>
      <c r="E112" s="240">
        <f>ROUND(VLOOKUP(A112,'Contribution Allocation_Report'!$A$9:$D$310,4,FALSE)*$E$311,0)</f>
        <v>454395</v>
      </c>
      <c r="F112" s="182"/>
    </row>
    <row r="113" spans="1:6">
      <c r="A113" s="218">
        <v>13041</v>
      </c>
      <c r="B113" s="219" t="s">
        <v>105</v>
      </c>
      <c r="C113" s="239">
        <f>ROUND(VLOOKUP(A113,'Contribution Allocation_Report'!$A$9:$D$310,4,FALSE)*$C$311,0)</f>
        <v>42962772</v>
      </c>
      <c r="D113" s="239">
        <f>ROUND(VLOOKUP(A113,'Contribution Allocation_Report'!$A$9:$D$310,4,FALSE)*$D$311,0)</f>
        <v>53414880</v>
      </c>
      <c r="E113" s="239">
        <f>ROUND(VLOOKUP(A113,'Contribution Allocation_Report'!$A$9:$D$310,4,FALSE)*$E$311,0)</f>
        <v>61831965</v>
      </c>
      <c r="F113" s="182"/>
    </row>
    <row r="114" spans="1:6">
      <c r="A114" s="220">
        <v>2339</v>
      </c>
      <c r="B114" s="221" t="s">
        <v>106</v>
      </c>
      <c r="C114" s="240">
        <f>ROUND(VLOOKUP(A114,'Contribution Allocation_Report'!$A$9:$D$310,4,FALSE)*$C$311,0)</f>
        <v>632778</v>
      </c>
      <c r="D114" s="240">
        <f>ROUND(VLOOKUP(A114,'Contribution Allocation_Report'!$A$9:$D$310,4,FALSE)*$D$311,0)</f>
        <v>786723</v>
      </c>
      <c r="E114" s="240">
        <f>ROUND(VLOOKUP(A114,'Contribution Allocation_Report'!$A$9:$D$310,4,FALSE)*$E$311,0)</f>
        <v>910694</v>
      </c>
      <c r="F114" s="182"/>
    </row>
    <row r="115" spans="1:6">
      <c r="A115" s="218">
        <v>2362</v>
      </c>
      <c r="B115" s="219" t="s">
        <v>107</v>
      </c>
      <c r="C115" s="239">
        <f>ROUND(VLOOKUP(A115,'Contribution Allocation_Report'!$A$9:$D$310,4,FALSE)*$C$311,0)</f>
        <v>809565</v>
      </c>
      <c r="D115" s="239">
        <f>ROUND(VLOOKUP(A115,'Contribution Allocation_Report'!$A$9:$D$310,4,FALSE)*$D$311,0)</f>
        <v>1006518</v>
      </c>
      <c r="E115" s="239">
        <f>ROUND(VLOOKUP(A115,'Contribution Allocation_Report'!$A$9:$D$310,4,FALSE)*$E$311,0)</f>
        <v>1165125</v>
      </c>
      <c r="F115" s="182"/>
    </row>
    <row r="116" spans="1:6">
      <c r="A116" s="220">
        <v>5013</v>
      </c>
      <c r="B116" s="221" t="s">
        <v>108</v>
      </c>
      <c r="C116" s="240">
        <f>ROUND(VLOOKUP(A116,'Contribution Allocation_Report'!$A$9:$D$310,4,FALSE)*$C$311,0)</f>
        <v>775954</v>
      </c>
      <c r="D116" s="240">
        <f>ROUND(VLOOKUP(A116,'Contribution Allocation_Report'!$A$9:$D$310,4,FALSE)*$D$311,0)</f>
        <v>964731</v>
      </c>
      <c r="E116" s="240">
        <f>ROUND(VLOOKUP(A116,'Contribution Allocation_Report'!$A$9:$D$310,4,FALSE)*$E$311,0)</f>
        <v>1116752</v>
      </c>
      <c r="F116" s="182"/>
    </row>
    <row r="117" spans="1:6">
      <c r="A117" s="218">
        <v>3110</v>
      </c>
      <c r="B117" s="219" t="s">
        <v>109</v>
      </c>
      <c r="C117" s="239">
        <f>ROUND(VLOOKUP(A117,'Contribution Allocation_Report'!$A$9:$D$310,4,FALSE)*$C$311,0)</f>
        <v>3917880</v>
      </c>
      <c r="D117" s="239">
        <f>ROUND(VLOOKUP(A117,'Contribution Allocation_Report'!$A$9:$D$310,4,FALSE)*$D$311,0)</f>
        <v>4871034</v>
      </c>
      <c r="E117" s="239">
        <f>ROUND(VLOOKUP(A117,'Contribution Allocation_Report'!$A$9:$D$310,4,FALSE)*$E$311,0)</f>
        <v>5638608</v>
      </c>
      <c r="F117" s="182"/>
    </row>
    <row r="118" spans="1:6">
      <c r="A118" s="220">
        <v>14044</v>
      </c>
      <c r="B118" s="221" t="s">
        <v>110</v>
      </c>
      <c r="C118" s="240">
        <f>ROUND(VLOOKUP(A118,'Contribution Allocation_Report'!$A$9:$D$310,4,FALSE)*$C$311,0)</f>
        <v>12478783</v>
      </c>
      <c r="D118" s="240">
        <f>ROUND(VLOOKUP(A118,'Contribution Allocation_Report'!$A$9:$D$310,4,FALSE)*$D$311,0)</f>
        <v>15514657</v>
      </c>
      <c r="E118" s="240">
        <f>ROUND(VLOOKUP(A118,'Contribution Allocation_Report'!$A$9:$D$310,4,FALSE)*$E$311,0)</f>
        <v>17959448</v>
      </c>
      <c r="F118" s="182"/>
    </row>
    <row r="119" spans="1:6">
      <c r="A119" s="218">
        <v>4009</v>
      </c>
      <c r="B119" s="219" t="s">
        <v>111</v>
      </c>
      <c r="C119" s="239">
        <f>ROUND(VLOOKUP(A119,'Contribution Allocation_Report'!$A$9:$D$310,4,FALSE)*$C$311,0)</f>
        <v>1669678</v>
      </c>
      <c r="D119" s="239">
        <f>ROUND(VLOOKUP(A119,'Contribution Allocation_Report'!$A$9:$D$310,4,FALSE)*$D$311,0)</f>
        <v>2075882</v>
      </c>
      <c r="E119" s="239">
        <f>ROUND(VLOOKUP(A119,'Contribution Allocation_Report'!$A$9:$D$310,4,FALSE)*$E$311,0)</f>
        <v>2402998</v>
      </c>
      <c r="F119" s="182"/>
    </row>
    <row r="120" spans="1:6">
      <c r="A120" s="220">
        <v>7022</v>
      </c>
      <c r="B120" s="221" t="s">
        <v>112</v>
      </c>
      <c r="C120" s="240">
        <f>ROUND(VLOOKUP(A120,'Contribution Allocation_Report'!$A$9:$D$310,4,FALSE)*$C$311,0)</f>
        <v>4415952</v>
      </c>
      <c r="D120" s="240">
        <f>ROUND(VLOOKUP(A120,'Contribution Allocation_Report'!$A$9:$D$310,4,FALSE)*$D$311,0)</f>
        <v>5490278</v>
      </c>
      <c r="E120" s="240">
        <f>ROUND(VLOOKUP(A120,'Contribution Allocation_Report'!$A$9:$D$310,4,FALSE)*$E$311,0)</f>
        <v>6355432</v>
      </c>
      <c r="F120" s="182"/>
    </row>
    <row r="121" spans="1:6">
      <c r="A121" s="218">
        <v>2430</v>
      </c>
      <c r="B121" s="219" t="s">
        <v>113</v>
      </c>
      <c r="C121" s="239">
        <f>ROUND(VLOOKUP(A121,'Contribution Allocation_Report'!$A$9:$D$310,4,FALSE)*$C$311,0)</f>
        <v>684915</v>
      </c>
      <c r="D121" s="239">
        <f>ROUND(VLOOKUP(A121,'Contribution Allocation_Report'!$A$9:$D$310,4,FALSE)*$D$311,0)</f>
        <v>851543</v>
      </c>
      <c r="E121" s="239">
        <f>ROUND(VLOOKUP(A121,'Contribution Allocation_Report'!$A$9:$D$310,4,FALSE)*$E$311,0)</f>
        <v>985728</v>
      </c>
      <c r="F121" s="182"/>
    </row>
    <row r="122" spans="1:6">
      <c r="A122" s="220">
        <v>9150</v>
      </c>
      <c r="B122" s="221" t="s">
        <v>114</v>
      </c>
      <c r="C122" s="240">
        <f>ROUND(VLOOKUP(A122,'Contribution Allocation_Report'!$A$9:$D$310,4,FALSE)*$C$311,0)</f>
        <v>366805</v>
      </c>
      <c r="D122" s="240">
        <f>ROUND(VLOOKUP(A122,'Contribution Allocation_Report'!$A$9:$D$310,4,FALSE)*$D$311,0)</f>
        <v>456042</v>
      </c>
      <c r="E122" s="240">
        <f>ROUND(VLOOKUP(A122,'Contribution Allocation_Report'!$A$9:$D$310,4,FALSE)*$E$311,0)</f>
        <v>527905</v>
      </c>
      <c r="F122" s="182"/>
    </row>
    <row r="123" spans="1:6">
      <c r="A123" s="218">
        <v>6017</v>
      </c>
      <c r="B123" s="219" t="s">
        <v>115</v>
      </c>
      <c r="C123" s="239">
        <f>ROUND(VLOOKUP(A123,'Contribution Allocation_Report'!$A$9:$D$310,4,FALSE)*$C$311,0)</f>
        <v>33707957</v>
      </c>
      <c r="D123" s="239">
        <f>ROUND(VLOOKUP(A123,'Contribution Allocation_Report'!$A$9:$D$310,4,FALSE)*$D$311,0)</f>
        <v>41908527</v>
      </c>
      <c r="E123" s="239">
        <f>ROUND(VLOOKUP(A123,'Contribution Allocation_Report'!$A$9:$D$310,4,FALSE)*$E$311,0)</f>
        <v>48512448</v>
      </c>
      <c r="F123" s="182"/>
    </row>
    <row r="124" spans="1:6">
      <c r="A124" s="220">
        <v>26080</v>
      </c>
      <c r="B124" s="221" t="s">
        <v>116</v>
      </c>
      <c r="C124" s="240">
        <f>ROUND(VLOOKUP(A124,'Contribution Allocation_Report'!$A$9:$D$310,4,FALSE)*$C$311,0)</f>
        <v>921247</v>
      </c>
      <c r="D124" s="240">
        <f>ROUND(VLOOKUP(A124,'Contribution Allocation_Report'!$A$9:$D$310,4,FALSE)*$D$311,0)</f>
        <v>1145371</v>
      </c>
      <c r="E124" s="240">
        <f>ROUND(VLOOKUP(A124,'Contribution Allocation_Report'!$A$9:$D$310,4,FALSE)*$E$311,0)</f>
        <v>1325858</v>
      </c>
      <c r="F124" s="182"/>
    </row>
    <row r="125" spans="1:6">
      <c r="A125" s="218">
        <v>2327</v>
      </c>
      <c r="B125" s="219" t="s">
        <v>117</v>
      </c>
      <c r="C125" s="239">
        <f>ROUND(VLOOKUP(A125,'Contribution Allocation_Report'!$A$9:$D$310,4,FALSE)*$C$311,0)</f>
        <v>1144612</v>
      </c>
      <c r="D125" s="239">
        <f>ROUND(VLOOKUP(A125,'Contribution Allocation_Report'!$A$9:$D$310,4,FALSE)*$D$311,0)</f>
        <v>1423076</v>
      </c>
      <c r="E125" s="239">
        <f>ROUND(VLOOKUP(A125,'Contribution Allocation_Report'!$A$9:$D$310,4,FALSE)*$E$311,0)</f>
        <v>1647324</v>
      </c>
      <c r="F125" s="182"/>
    </row>
    <row r="126" spans="1:6">
      <c r="A126" s="220">
        <v>10119</v>
      </c>
      <c r="B126" s="221" t="s">
        <v>118</v>
      </c>
      <c r="C126" s="240">
        <f>ROUND(VLOOKUP(A126,'Contribution Allocation_Report'!$A$9:$D$310,4,FALSE)*$C$311,0)</f>
        <v>635160</v>
      </c>
      <c r="D126" s="240">
        <f>ROUND(VLOOKUP(A126,'Contribution Allocation_Report'!$A$9:$D$310,4,FALSE)*$D$311,0)</f>
        <v>789684</v>
      </c>
      <c r="E126" s="240">
        <f>ROUND(VLOOKUP(A126,'Contribution Allocation_Report'!$A$9:$D$310,4,FALSE)*$E$311,0)</f>
        <v>914122</v>
      </c>
      <c r="F126" s="182"/>
    </row>
    <row r="127" spans="1:6">
      <c r="A127" s="218">
        <v>573</v>
      </c>
      <c r="B127" s="219" t="s">
        <v>412</v>
      </c>
      <c r="C127" s="239">
        <f>ROUND(VLOOKUP(A127,'Contribution Allocation_Report'!$A$9:$D$310,4,FALSE)*$C$311,0)</f>
        <v>1026049</v>
      </c>
      <c r="D127" s="239">
        <f>ROUND(VLOOKUP(A127,'Contribution Allocation_Report'!$A$9:$D$310,4,FALSE)*$D$311,0)</f>
        <v>1275669</v>
      </c>
      <c r="E127" s="239">
        <f>ROUND(VLOOKUP(A127,'Contribution Allocation_Report'!$A$9:$D$310,4,FALSE)*$E$311,0)</f>
        <v>1476688</v>
      </c>
      <c r="F127" s="182"/>
    </row>
    <row r="128" spans="1:6">
      <c r="A128" s="220">
        <v>2368</v>
      </c>
      <c r="B128" s="221" t="s">
        <v>119</v>
      </c>
      <c r="C128" s="240">
        <f>ROUND(VLOOKUP(A128,'Contribution Allocation_Report'!$A$9:$D$310,4,FALSE)*$C$311,0)</f>
        <v>1325632</v>
      </c>
      <c r="D128" s="240">
        <f>ROUND(VLOOKUP(A128,'Contribution Allocation_Report'!$A$9:$D$310,4,FALSE)*$D$311,0)</f>
        <v>1648136</v>
      </c>
      <c r="E128" s="240">
        <f>ROUND(VLOOKUP(A128,'Contribution Allocation_Report'!$A$9:$D$310,4,FALSE)*$E$311,0)</f>
        <v>1907849</v>
      </c>
      <c r="F128" s="182"/>
    </row>
    <row r="129" spans="1:6">
      <c r="A129" s="218">
        <v>7420</v>
      </c>
      <c r="B129" s="219" t="s">
        <v>120</v>
      </c>
      <c r="C129" s="239">
        <f>ROUND(VLOOKUP(A129,'Contribution Allocation_Report'!$A$9:$D$310,4,FALSE)*$C$311,0)</f>
        <v>628279</v>
      </c>
      <c r="D129" s="239">
        <f>ROUND(VLOOKUP(A129,'Contribution Allocation_Report'!$A$9:$D$310,4,FALSE)*$D$311,0)</f>
        <v>781129</v>
      </c>
      <c r="E129" s="239">
        <f>ROUND(VLOOKUP(A129,'Contribution Allocation_Report'!$A$9:$D$310,4,FALSE)*$E$311,0)</f>
        <v>904219</v>
      </c>
      <c r="F129" s="182"/>
    </row>
    <row r="130" spans="1:6">
      <c r="A130" s="220">
        <v>6018</v>
      </c>
      <c r="B130" s="221" t="s">
        <v>121</v>
      </c>
      <c r="C130" s="240">
        <f>ROUND(VLOOKUP(A130,'Contribution Allocation_Report'!$A$9:$D$310,4,FALSE)*$C$311,0)</f>
        <v>1914744</v>
      </c>
      <c r="D130" s="240">
        <f>ROUND(VLOOKUP(A130,'Contribution Allocation_Report'!$A$9:$D$310,4,FALSE)*$D$311,0)</f>
        <v>2380568</v>
      </c>
      <c r="E130" s="240">
        <f>ROUND(VLOOKUP(A130,'Contribution Allocation_Report'!$A$9:$D$310,4,FALSE)*$E$311,0)</f>
        <v>2755697</v>
      </c>
      <c r="F130" s="182"/>
    </row>
    <row r="131" spans="1:6">
      <c r="A131" s="218">
        <v>3321</v>
      </c>
      <c r="B131" s="219" t="s">
        <v>122</v>
      </c>
      <c r="C131" s="239">
        <f>ROUND(VLOOKUP(A131,'Contribution Allocation_Report'!$A$9:$D$310,4,FALSE)*$C$311,0)</f>
        <v>801625</v>
      </c>
      <c r="D131" s="239">
        <f>ROUND(VLOOKUP(A131,'Contribution Allocation_Report'!$A$9:$D$310,4,FALSE)*$D$311,0)</f>
        <v>996647</v>
      </c>
      <c r="E131" s="239">
        <f>ROUND(VLOOKUP(A131,'Contribution Allocation_Report'!$A$9:$D$310,4,FALSE)*$E$311,0)</f>
        <v>1153698</v>
      </c>
      <c r="F131" s="182"/>
    </row>
    <row r="132" spans="1:6">
      <c r="A132" s="220">
        <v>29122</v>
      </c>
      <c r="B132" s="221" t="s">
        <v>123</v>
      </c>
      <c r="C132" s="240">
        <f>ROUND(VLOOKUP(A132,'Contribution Allocation_Report'!$A$9:$D$310,4,FALSE)*$C$311,0)</f>
        <v>1069716</v>
      </c>
      <c r="D132" s="240">
        <f>ROUND(VLOOKUP(A132,'Contribution Allocation_Report'!$A$9:$D$310,4,FALSE)*$D$311,0)</f>
        <v>1329959</v>
      </c>
      <c r="E132" s="240">
        <f>ROUND(VLOOKUP(A132,'Contribution Allocation_Report'!$A$9:$D$310,4,FALSE)*$E$311,0)</f>
        <v>1539534</v>
      </c>
      <c r="F132" s="182"/>
    </row>
    <row r="133" spans="1:6">
      <c r="A133" s="218">
        <v>29088</v>
      </c>
      <c r="B133" s="219" t="s">
        <v>124</v>
      </c>
      <c r="C133" s="239">
        <f>ROUND(VLOOKUP(A133,'Contribution Allocation_Report'!$A$9:$D$310,4,FALSE)*$C$311,0)</f>
        <v>1427258</v>
      </c>
      <c r="D133" s="239">
        <f>ROUND(VLOOKUP(A133,'Contribution Allocation_Report'!$A$9:$D$310,4,FALSE)*$D$311,0)</f>
        <v>1774486</v>
      </c>
      <c r="E133" s="239">
        <f>ROUND(VLOOKUP(A133,'Contribution Allocation_Report'!$A$9:$D$310,4,FALSE)*$E$311,0)</f>
        <v>2054108</v>
      </c>
      <c r="F133" s="182"/>
    </row>
    <row r="134" spans="1:6">
      <c r="A134" s="220">
        <v>7337</v>
      </c>
      <c r="B134" s="221" t="s">
        <v>125</v>
      </c>
      <c r="C134" s="240">
        <f>ROUND(VLOOKUP(A134,'Contribution Allocation_Report'!$A$9:$D$310,4,FALSE)*$C$311,0)</f>
        <v>367864</v>
      </c>
      <c r="D134" s="240">
        <f>ROUND(VLOOKUP(A134,'Contribution Allocation_Report'!$A$9:$D$310,4,FALSE)*$D$311,0)</f>
        <v>457359</v>
      </c>
      <c r="E134" s="240">
        <f>ROUND(VLOOKUP(A134,'Contribution Allocation_Report'!$A$9:$D$310,4,FALSE)*$E$311,0)</f>
        <v>529429</v>
      </c>
      <c r="F134" s="182"/>
    </row>
    <row r="135" spans="1:6">
      <c r="A135" s="218">
        <v>2329</v>
      </c>
      <c r="B135" s="219" t="s">
        <v>126</v>
      </c>
      <c r="C135" s="239">
        <f>ROUND(VLOOKUP(A135,'Contribution Allocation_Report'!$A$9:$D$310,4,FALSE)*$C$311,0)</f>
        <v>1169489</v>
      </c>
      <c r="D135" s="239">
        <f>ROUND(VLOOKUP(A135,'Contribution Allocation_Report'!$A$9:$D$310,4,FALSE)*$D$311,0)</f>
        <v>1454006</v>
      </c>
      <c r="E135" s="239">
        <f>ROUND(VLOOKUP(A135,'Contribution Allocation_Report'!$A$9:$D$310,4,FALSE)*$E$311,0)</f>
        <v>1683127</v>
      </c>
      <c r="F135" s="182"/>
    </row>
    <row r="136" spans="1:6">
      <c r="A136" s="220">
        <v>2343</v>
      </c>
      <c r="B136" s="221" t="s">
        <v>127</v>
      </c>
      <c r="C136" s="240">
        <f>ROUND(VLOOKUP(A136,'Contribution Allocation_Report'!$A$9:$D$310,4,FALSE)*$C$311,0)</f>
        <v>1236181</v>
      </c>
      <c r="D136" s="240">
        <f>ROUND(VLOOKUP(A136,'Contribution Allocation_Report'!$A$9:$D$310,4,FALSE)*$D$311,0)</f>
        <v>1536922</v>
      </c>
      <c r="E136" s="240">
        <f>ROUND(VLOOKUP(A136,'Contribution Allocation_Report'!$A$9:$D$310,4,FALSE)*$E$311,0)</f>
        <v>1779110</v>
      </c>
      <c r="F136" s="182"/>
    </row>
    <row r="137" spans="1:6">
      <c r="A137" s="218">
        <v>17425</v>
      </c>
      <c r="B137" s="219" t="s">
        <v>128</v>
      </c>
      <c r="C137" s="239">
        <f>ROUND(VLOOKUP(A137,'Contribution Allocation_Report'!$A$9:$D$310,4,FALSE)*$C$311,0)</f>
        <v>151115</v>
      </c>
      <c r="D137" s="239">
        <f>ROUND(VLOOKUP(A137,'Contribution Allocation_Report'!$A$9:$D$310,4,FALSE)*$D$311,0)</f>
        <v>187879</v>
      </c>
      <c r="E137" s="239">
        <f>ROUND(VLOOKUP(A137,'Contribution Allocation_Report'!$A$9:$D$310,4,FALSE)*$E$311,0)</f>
        <v>217485</v>
      </c>
      <c r="F137" s="182"/>
    </row>
    <row r="138" spans="1:6">
      <c r="A138" s="220">
        <v>4010</v>
      </c>
      <c r="B138" s="221" t="s">
        <v>129</v>
      </c>
      <c r="C138" s="240">
        <f>ROUND(VLOOKUP(A138,'Contribution Allocation_Report'!$A$9:$D$310,4,FALSE)*$C$311,0)</f>
        <v>663478</v>
      </c>
      <c r="D138" s="240">
        <f>ROUND(VLOOKUP(A138,'Contribution Allocation_Report'!$A$9:$D$310,4,FALSE)*$D$311,0)</f>
        <v>824891</v>
      </c>
      <c r="E138" s="240">
        <f>ROUND(VLOOKUP(A138,'Contribution Allocation_Report'!$A$9:$D$310,4,FALSE)*$E$311,0)</f>
        <v>954876</v>
      </c>
      <c r="F138" s="182"/>
    </row>
    <row r="139" spans="1:6">
      <c r="A139" s="218">
        <v>7023</v>
      </c>
      <c r="B139" s="219" t="s">
        <v>130</v>
      </c>
      <c r="C139" s="239">
        <f>ROUND(VLOOKUP(A139,'Contribution Allocation_Report'!$A$9:$D$310,4,FALSE)*$C$311,0)</f>
        <v>83778437</v>
      </c>
      <c r="D139" s="239">
        <f>ROUND(VLOOKUP(A139,'Contribution Allocation_Report'!$A$9:$D$310,4,FALSE)*$D$311,0)</f>
        <v>104160300</v>
      </c>
      <c r="E139" s="239">
        <f>ROUND(VLOOKUP(A139,'Contribution Allocation_Report'!$A$9:$D$310,4,FALSE)*$E$311,0)</f>
        <v>120573818</v>
      </c>
      <c r="F139" s="182"/>
    </row>
    <row r="140" spans="1:6">
      <c r="A140" s="220">
        <v>7338</v>
      </c>
      <c r="B140" s="221" t="s">
        <v>131</v>
      </c>
      <c r="C140" s="240">
        <f>ROUND(VLOOKUP(A140,'Contribution Allocation_Report'!$A$9:$D$310,4,FALSE)*$C$311,0)</f>
        <v>767485</v>
      </c>
      <c r="D140" s="240">
        <f>ROUND(VLOOKUP(A140,'Contribution Allocation_Report'!$A$9:$D$310,4,FALSE)*$D$311,0)</f>
        <v>954201</v>
      </c>
      <c r="E140" s="240">
        <f>ROUND(VLOOKUP(A140,'Contribution Allocation_Report'!$A$9:$D$310,4,FALSE)*$E$311,0)</f>
        <v>1104564</v>
      </c>
      <c r="F140" s="182"/>
    </row>
    <row r="141" spans="1:6">
      <c r="A141" s="218">
        <v>12037</v>
      </c>
      <c r="B141" s="219" t="s">
        <v>132</v>
      </c>
      <c r="C141" s="239">
        <f>ROUND(VLOOKUP(A141,'Contribution Allocation_Report'!$A$9:$D$310,4,FALSE)*$C$311,0)</f>
        <v>5345139</v>
      </c>
      <c r="D141" s="239">
        <f>ROUND(VLOOKUP(A141,'Contribution Allocation_Report'!$A$9:$D$310,4,FALSE)*$D$311,0)</f>
        <v>6645519</v>
      </c>
      <c r="E141" s="239">
        <f>ROUND(VLOOKUP(A141,'Contribution Allocation_Report'!$A$9:$D$310,4,FALSE)*$E$311,0)</f>
        <v>7692716</v>
      </c>
      <c r="F141" s="182"/>
    </row>
    <row r="142" spans="1:6">
      <c r="A142" s="220">
        <v>3150</v>
      </c>
      <c r="B142" s="221" t="s">
        <v>133</v>
      </c>
      <c r="C142" s="240">
        <f>ROUND(VLOOKUP(A142,'Contribution Allocation_Report'!$A$9:$D$310,4,FALSE)*$C$311,0)</f>
        <v>9876743</v>
      </c>
      <c r="D142" s="240">
        <f>ROUND(VLOOKUP(A142,'Contribution Allocation_Report'!$A$9:$D$310,4,FALSE)*$D$311,0)</f>
        <v>12279585</v>
      </c>
      <c r="E142" s="240">
        <f>ROUND(VLOOKUP(A142,'Contribution Allocation_Report'!$A$9:$D$310,4,FALSE)*$E$311,0)</f>
        <v>14214595</v>
      </c>
      <c r="F142" s="182"/>
    </row>
    <row r="143" spans="1:6">
      <c r="A143" s="218">
        <v>3160</v>
      </c>
      <c r="B143" s="219" t="s">
        <v>134</v>
      </c>
      <c r="C143" s="239">
        <f>ROUND(VLOOKUP(A143,'Contribution Allocation_Report'!$A$9:$D$310,4,FALSE)*$C$311,0)</f>
        <v>2504649</v>
      </c>
      <c r="D143" s="239">
        <f>ROUND(VLOOKUP(A143,'Contribution Allocation_Report'!$A$9:$D$310,4,FALSE)*$D$311,0)</f>
        <v>3113987</v>
      </c>
      <c r="E143" s="239">
        <f>ROUND(VLOOKUP(A143,'Contribution Allocation_Report'!$A$9:$D$310,4,FALSE)*$E$311,0)</f>
        <v>3604687</v>
      </c>
      <c r="F143" s="182"/>
    </row>
    <row r="144" spans="1:6">
      <c r="A144" s="220">
        <v>10120</v>
      </c>
      <c r="B144" s="221" t="s">
        <v>136</v>
      </c>
      <c r="C144" s="240">
        <f>ROUND(VLOOKUP(A144,'Contribution Allocation_Report'!$A$9:$D$310,4,FALSE)*$C$311,0)</f>
        <v>1238298</v>
      </c>
      <c r="D144" s="240">
        <f>ROUND(VLOOKUP(A144,'Contribution Allocation_Report'!$A$9:$D$310,4,FALSE)*$D$311,0)</f>
        <v>1539555</v>
      </c>
      <c r="E144" s="240">
        <f>ROUND(VLOOKUP(A144,'Contribution Allocation_Report'!$A$9:$D$310,4,FALSE)*$E$311,0)</f>
        <v>1782157</v>
      </c>
      <c r="F144" s="182"/>
    </row>
    <row r="145" spans="1:6">
      <c r="A145" s="218">
        <v>23070</v>
      </c>
      <c r="B145" s="219" t="s">
        <v>137</v>
      </c>
      <c r="C145" s="239">
        <f>ROUND(VLOOKUP(A145,'Contribution Allocation_Report'!$A$9:$D$310,4,FALSE)*$C$311,0)</f>
        <v>2076710</v>
      </c>
      <c r="D145" s="239">
        <f>ROUND(VLOOKUP(A145,'Contribution Allocation_Report'!$A$9:$D$310,4,FALSE)*$D$311,0)</f>
        <v>2581937</v>
      </c>
      <c r="E145" s="239">
        <f>ROUND(VLOOKUP(A145,'Contribution Allocation_Report'!$A$9:$D$310,4,FALSE)*$E$311,0)</f>
        <v>2988798</v>
      </c>
      <c r="F145" s="182"/>
    </row>
    <row r="146" spans="1:6">
      <c r="A146" s="220">
        <v>3170</v>
      </c>
      <c r="B146" s="221" t="s">
        <v>138</v>
      </c>
      <c r="C146" s="240">
        <f>ROUND(VLOOKUP(A146,'Contribution Allocation_Report'!$A$9:$D$310,4,FALSE)*$C$311,0)</f>
        <v>24997792</v>
      </c>
      <c r="D146" s="240">
        <f>ROUND(VLOOKUP(A146,'Contribution Allocation_Report'!$A$9:$D$310,4,FALSE)*$D$311,0)</f>
        <v>31079328</v>
      </c>
      <c r="E146" s="240">
        <f>ROUND(VLOOKUP(A146,'Contribution Allocation_Report'!$A$9:$D$310,4,FALSE)*$E$311,0)</f>
        <v>35976790</v>
      </c>
      <c r="F146" s="182"/>
    </row>
    <row r="147" spans="1:6">
      <c r="A147" s="218">
        <v>32093</v>
      </c>
      <c r="B147" s="219" t="s">
        <v>139</v>
      </c>
      <c r="C147" s="239">
        <f>ROUND(VLOOKUP(A147,'Contribution Allocation_Report'!$A$9:$D$310,4,FALSE)*$C$311,0)</f>
        <v>16061351</v>
      </c>
      <c r="D147" s="239">
        <f>ROUND(VLOOKUP(A147,'Contribution Allocation_Report'!$A$9:$D$310,4,FALSE)*$D$311,0)</f>
        <v>19968804</v>
      </c>
      <c r="E147" s="239">
        <f>ROUND(VLOOKUP(A147,'Contribution Allocation_Report'!$A$9:$D$310,4,FALSE)*$E$311,0)</f>
        <v>23115476</v>
      </c>
      <c r="F147" s="182"/>
    </row>
    <row r="148" spans="1:6">
      <c r="A148" s="220">
        <v>14045</v>
      </c>
      <c r="B148" s="249" t="s">
        <v>140</v>
      </c>
      <c r="C148" s="272">
        <f>ROUND(VLOOKUP(A148,'Contribution Allocation_Report'!$A$9:$D$310,4,FALSE)*$C$311,0)</f>
        <v>27735068</v>
      </c>
      <c r="D148" s="272">
        <f>ROUND(VLOOKUP(A148,'Contribution Allocation_Report'!$A$9:$D$310,4,FALSE)*$D$311,0)</f>
        <v>34482537</v>
      </c>
      <c r="E148" s="272">
        <f>ROUND(VLOOKUP(A148,'Contribution Allocation_Report'!$A$9:$D$310,4,FALSE)*$E$311,0)</f>
        <v>39916274</v>
      </c>
      <c r="F148" s="182"/>
    </row>
    <row r="149" spans="1:6">
      <c r="A149" s="218">
        <v>2322</v>
      </c>
      <c r="B149" s="219" t="s">
        <v>141</v>
      </c>
      <c r="C149" s="239">
        <f>ROUND(VLOOKUP(A149,'Contribution Allocation_Report'!$A$9:$D$310,4,FALSE)*$C$311,0)</f>
        <v>635954</v>
      </c>
      <c r="D149" s="239">
        <f>ROUND(VLOOKUP(A149,'Contribution Allocation_Report'!$A$9:$D$310,4,FALSE)*$D$311,0)</f>
        <v>790671</v>
      </c>
      <c r="E149" s="239">
        <f>ROUND(VLOOKUP(A149,'Contribution Allocation_Report'!$A$9:$D$310,4,FALSE)*$E$311,0)</f>
        <v>915265</v>
      </c>
      <c r="F149" s="182"/>
    </row>
    <row r="150" spans="1:6">
      <c r="A150" s="220">
        <v>3006</v>
      </c>
      <c r="B150" s="221" t="s">
        <v>142</v>
      </c>
      <c r="C150" s="240">
        <f>ROUND(VLOOKUP(A150,'Contribution Allocation_Report'!$A$9:$D$310,4,FALSE)*$C$311,0)</f>
        <v>2388467</v>
      </c>
      <c r="D150" s="240">
        <f>ROUND(VLOOKUP(A150,'Contribution Allocation_Report'!$A$9:$D$310,4,FALSE)*$D$311,0)</f>
        <v>2969541</v>
      </c>
      <c r="E150" s="240">
        <f>ROUND(VLOOKUP(A150,'Contribution Allocation_Report'!$A$9:$D$310,4,FALSE)*$E$311,0)</f>
        <v>3437479</v>
      </c>
      <c r="F150" s="182"/>
    </row>
    <row r="151" spans="1:6">
      <c r="A151" s="218">
        <v>6019</v>
      </c>
      <c r="B151" s="219" t="s">
        <v>143</v>
      </c>
      <c r="C151" s="239">
        <f>ROUND(VLOOKUP(A151,'Contribution Allocation_Report'!$A$9:$D$310,4,FALSE)*$C$311,0)</f>
        <v>12301202</v>
      </c>
      <c r="D151" s="239">
        <f>ROUND(VLOOKUP(A151,'Contribution Allocation_Report'!$A$9:$D$310,4,FALSE)*$D$311,0)</f>
        <v>15293875</v>
      </c>
      <c r="E151" s="239">
        <f>ROUND(VLOOKUP(A151,'Contribution Allocation_Report'!$A$9:$D$310,4,FALSE)*$E$311,0)</f>
        <v>17703875</v>
      </c>
      <c r="F151" s="182"/>
    </row>
    <row r="152" spans="1:6">
      <c r="A152" s="220">
        <v>12128</v>
      </c>
      <c r="B152" s="221" t="s">
        <v>144</v>
      </c>
      <c r="C152" s="240">
        <f>ROUND(VLOOKUP(A152,'Contribution Allocation_Report'!$A$9:$D$310,4,FALSE)*$C$311,0)</f>
        <v>3112550</v>
      </c>
      <c r="D152" s="240">
        <f>ROUND(VLOOKUP(A152,'Contribution Allocation_Report'!$A$9:$D$310,4,FALSE)*$D$311,0)</f>
        <v>3869780</v>
      </c>
      <c r="E152" s="240">
        <f>ROUND(VLOOKUP(A152,'Contribution Allocation_Report'!$A$9:$D$310,4,FALSE)*$E$311,0)</f>
        <v>4479578</v>
      </c>
      <c r="F152" s="182"/>
    </row>
    <row r="153" spans="1:6">
      <c r="A153" s="218">
        <v>3180</v>
      </c>
      <c r="B153" s="219" t="s">
        <v>145</v>
      </c>
      <c r="C153" s="239">
        <f>ROUND(VLOOKUP(A153,'Contribution Allocation_Report'!$A$9:$D$310,4,FALSE)*$C$311,0)</f>
        <v>4704685</v>
      </c>
      <c r="D153" s="239">
        <f>ROUND(VLOOKUP(A153,'Contribution Allocation_Report'!$A$9:$D$310,4,FALSE)*$D$311,0)</f>
        <v>5849255</v>
      </c>
      <c r="E153" s="239">
        <f>ROUND(VLOOKUP(A153,'Contribution Allocation_Report'!$A$9:$D$310,4,FALSE)*$E$311,0)</f>
        <v>6770977</v>
      </c>
      <c r="F153" s="182"/>
    </row>
    <row r="154" spans="1:6">
      <c r="A154" s="220">
        <v>25075</v>
      </c>
      <c r="B154" s="221" t="s">
        <v>146</v>
      </c>
      <c r="C154" s="240">
        <f>ROUND(VLOOKUP(A154,'Contribution Allocation_Report'!$A$9:$D$310,4,FALSE)*$C$311,0)</f>
        <v>1917125</v>
      </c>
      <c r="D154" s="240">
        <f>ROUND(VLOOKUP(A154,'Contribution Allocation_Report'!$A$9:$D$310,4,FALSE)*$D$311,0)</f>
        <v>2383529</v>
      </c>
      <c r="E154" s="240">
        <f>ROUND(VLOOKUP(A154,'Contribution Allocation_Report'!$A$9:$D$310,4,FALSE)*$E$311,0)</f>
        <v>2759125</v>
      </c>
      <c r="F154" s="182"/>
    </row>
    <row r="155" spans="1:6">
      <c r="A155" s="218">
        <v>9028</v>
      </c>
      <c r="B155" s="219" t="s">
        <v>147</v>
      </c>
      <c r="C155" s="239">
        <f>ROUND(VLOOKUP(A155,'Contribution Allocation_Report'!$A$9:$D$310,4,FALSE)*$C$311,0)</f>
        <v>758223</v>
      </c>
      <c r="D155" s="239">
        <f>ROUND(VLOOKUP(A155,'Contribution Allocation_Report'!$A$9:$D$310,4,FALSE)*$D$311,0)</f>
        <v>942685</v>
      </c>
      <c r="E155" s="239">
        <f>ROUND(VLOOKUP(A155,'Contribution Allocation_Report'!$A$9:$D$310,4,FALSE)*$E$311,0)</f>
        <v>1091233</v>
      </c>
      <c r="F155" s="182"/>
    </row>
    <row r="156" spans="1:6">
      <c r="A156" s="220">
        <v>17424</v>
      </c>
      <c r="B156" s="221" t="s">
        <v>148</v>
      </c>
      <c r="C156" s="240">
        <f>ROUND(VLOOKUP(A156,'Contribution Allocation_Report'!$A$9:$D$310,4,FALSE)*$C$311,0)</f>
        <v>1366389</v>
      </c>
      <c r="D156" s="240">
        <f>ROUND(VLOOKUP(A156,'Contribution Allocation_Report'!$A$9:$D$310,4,FALSE)*$D$311,0)</f>
        <v>1698808</v>
      </c>
      <c r="E156" s="240">
        <f>ROUND(VLOOKUP(A156,'Contribution Allocation_Report'!$A$9:$D$310,4,FALSE)*$E$311,0)</f>
        <v>1966505</v>
      </c>
      <c r="F156" s="182"/>
    </row>
    <row r="157" spans="1:6">
      <c r="A157" s="218">
        <v>3200</v>
      </c>
      <c r="B157" s="219" t="s">
        <v>149</v>
      </c>
      <c r="C157" s="239">
        <f>ROUND(VLOOKUP(A157,'Contribution Allocation_Report'!$A$9:$D$310,4,FALSE)*$C$311,0)</f>
        <v>5469524</v>
      </c>
      <c r="D157" s="239">
        <f>ROUND(VLOOKUP(A157,'Contribution Allocation_Report'!$A$9:$D$310,4,FALSE)*$D$311,0)</f>
        <v>6800166</v>
      </c>
      <c r="E157" s="239">
        <f>ROUND(VLOOKUP(A157,'Contribution Allocation_Report'!$A$9:$D$310,4,FALSE)*$E$311,0)</f>
        <v>7871732</v>
      </c>
      <c r="F157" s="182"/>
    </row>
    <row r="158" spans="1:6">
      <c r="A158" s="220">
        <v>2365</v>
      </c>
      <c r="B158" s="221" t="s">
        <v>150</v>
      </c>
      <c r="C158" s="240">
        <f>ROUND(VLOOKUP(A158,'Contribution Allocation_Report'!$A$9:$D$310,4,FALSE)*$C$311,0)</f>
        <v>876786</v>
      </c>
      <c r="D158" s="240">
        <f>ROUND(VLOOKUP(A158,'Contribution Allocation_Report'!$A$9:$D$310,4,FALSE)*$D$311,0)</f>
        <v>1090093</v>
      </c>
      <c r="E158" s="240">
        <f>ROUND(VLOOKUP(A158,'Contribution Allocation_Report'!$A$9:$D$310,4,FALSE)*$E$311,0)</f>
        <v>1261869</v>
      </c>
      <c r="F158" s="182"/>
    </row>
    <row r="159" spans="1:6">
      <c r="A159" s="218">
        <v>5014</v>
      </c>
      <c r="B159" s="219" t="s">
        <v>151</v>
      </c>
      <c r="C159" s="239">
        <f>ROUND(VLOOKUP(A159,'Contribution Allocation_Report'!$A$9:$D$310,4,FALSE)*$C$311,0)</f>
        <v>1044309</v>
      </c>
      <c r="D159" s="239">
        <f>ROUND(VLOOKUP(A159,'Contribution Allocation_Report'!$A$9:$D$310,4,FALSE)*$D$311,0)</f>
        <v>1298372</v>
      </c>
      <c r="E159" s="239">
        <f>ROUND(VLOOKUP(A159,'Contribution Allocation_Report'!$A$9:$D$310,4,FALSE)*$E$311,0)</f>
        <v>1502969</v>
      </c>
      <c r="F159" s="182"/>
    </row>
    <row r="160" spans="1:6">
      <c r="A160" s="220">
        <v>17127</v>
      </c>
      <c r="B160" s="221" t="s">
        <v>152</v>
      </c>
      <c r="C160" s="240">
        <f>ROUND(VLOOKUP(A160,'Contribution Allocation_Report'!$A$9:$D$310,4,FALSE)*$C$311,0)</f>
        <v>1110207</v>
      </c>
      <c r="D160" s="240">
        <f>ROUND(VLOOKUP(A160,'Contribution Allocation_Report'!$A$9:$D$310,4,FALSE)*$D$311,0)</f>
        <v>1380302</v>
      </c>
      <c r="E160" s="240">
        <f>ROUND(VLOOKUP(A160,'Contribution Allocation_Report'!$A$9:$D$310,4,FALSE)*$E$311,0)</f>
        <v>1597809</v>
      </c>
      <c r="F160" s="182"/>
    </row>
    <row r="161" spans="1:6">
      <c r="A161" s="218">
        <v>10141</v>
      </c>
      <c r="B161" s="219" t="s">
        <v>153</v>
      </c>
      <c r="C161" s="239">
        <f>ROUND(VLOOKUP(A161,'Contribution Allocation_Report'!$A$9:$D$310,4,FALSE)*$C$311,0)</f>
        <v>1639243</v>
      </c>
      <c r="D161" s="239">
        <f>ROUND(VLOOKUP(A161,'Contribution Allocation_Report'!$A$9:$D$310,4,FALSE)*$D$311,0)</f>
        <v>2038043</v>
      </c>
      <c r="E161" s="239">
        <f>ROUND(VLOOKUP(A161,'Contribution Allocation_Report'!$A$9:$D$310,4,FALSE)*$E$311,0)</f>
        <v>2359196</v>
      </c>
      <c r="F161" s="182"/>
    </row>
    <row r="162" spans="1:6">
      <c r="A162" s="220">
        <v>4570</v>
      </c>
      <c r="B162" s="221" t="s">
        <v>413</v>
      </c>
      <c r="C162" s="240">
        <f>ROUND(VLOOKUP(A162,'Contribution Allocation_Report'!$A$9:$D$310,4,FALSE)*$C$311,0)</f>
        <v>3887710</v>
      </c>
      <c r="D162" s="240">
        <f>ROUND(VLOOKUP(A162,'Contribution Allocation_Report'!$A$9:$D$310,4,FALSE)*$D$311,0)</f>
        <v>4833524</v>
      </c>
      <c r="E162" s="240">
        <f>ROUND(VLOOKUP(A162,'Contribution Allocation_Report'!$A$9:$D$310,4,FALSE)*$E$311,0)</f>
        <v>5595188</v>
      </c>
      <c r="F162" s="182"/>
    </row>
    <row r="163" spans="1:6">
      <c r="A163" s="218">
        <v>13369</v>
      </c>
      <c r="B163" s="219" t="s">
        <v>154</v>
      </c>
      <c r="C163" s="239">
        <f>ROUND(VLOOKUP(A163,'Contribution Allocation_Report'!$A$9:$D$310,4,FALSE)*$C$311,0)</f>
        <v>352249</v>
      </c>
      <c r="D163" s="239">
        <f>ROUND(VLOOKUP(A163,'Contribution Allocation_Report'!$A$9:$D$310,4,FALSE)*$D$311,0)</f>
        <v>437946</v>
      </c>
      <c r="E163" s="239">
        <f>ROUND(VLOOKUP(A163,'Contribution Allocation_Report'!$A$9:$D$310,4,FALSE)*$E$311,0)</f>
        <v>506957</v>
      </c>
      <c r="F163" s="182"/>
    </row>
    <row r="164" spans="1:6">
      <c r="A164" s="220">
        <v>2425</v>
      </c>
      <c r="B164" s="221" t="s">
        <v>155</v>
      </c>
      <c r="C164" s="240">
        <f>ROUND(VLOOKUP(A164,'Contribution Allocation_Report'!$A$9:$D$310,4,FALSE)*$C$311,0)</f>
        <v>4611264</v>
      </c>
      <c r="D164" s="240">
        <f>ROUND(VLOOKUP(A164,'Contribution Allocation_Report'!$A$9:$D$310,4,FALSE)*$D$311,0)</f>
        <v>5733105</v>
      </c>
      <c r="E164" s="240">
        <f>ROUND(VLOOKUP(A164,'Contribution Allocation_Report'!$A$9:$D$310,4,FALSE)*$E$311,0)</f>
        <v>6636525</v>
      </c>
      <c r="F164" s="182"/>
    </row>
    <row r="165" spans="1:6">
      <c r="A165" s="218">
        <v>1306</v>
      </c>
      <c r="B165" s="219" t="s">
        <v>156</v>
      </c>
      <c r="C165" s="239">
        <f>ROUND(VLOOKUP(A165,'Contribution Allocation_Report'!$A$9:$D$310,4,FALSE)*$C$311,0)</f>
        <v>1252060</v>
      </c>
      <c r="D165" s="239">
        <f>ROUND(VLOOKUP(A165,'Contribution Allocation_Report'!$A$9:$D$310,4,FALSE)*$D$311,0)</f>
        <v>1556664</v>
      </c>
      <c r="E165" s="239">
        <f>ROUND(VLOOKUP(A165,'Contribution Allocation_Report'!$A$9:$D$310,4,FALSE)*$E$311,0)</f>
        <v>1801963</v>
      </c>
      <c r="F165" s="182"/>
    </row>
    <row r="166" spans="1:6">
      <c r="A166" s="220">
        <v>2351</v>
      </c>
      <c r="B166" s="221" t="s">
        <v>157</v>
      </c>
      <c r="C166" s="240">
        <f>ROUND(VLOOKUP(A166,'Contribution Allocation_Report'!$A$9:$D$310,4,FALSE)*$C$311,0)</f>
        <v>992703</v>
      </c>
      <c r="D166" s="240">
        <f>ROUND(VLOOKUP(A166,'Contribution Allocation_Report'!$A$9:$D$310,4,FALSE)*$D$311,0)</f>
        <v>1234210</v>
      </c>
      <c r="E166" s="240">
        <f>ROUND(VLOOKUP(A166,'Contribution Allocation_Report'!$A$9:$D$310,4,FALSE)*$E$311,0)</f>
        <v>1428696</v>
      </c>
      <c r="F166" s="182"/>
    </row>
    <row r="167" spans="1:6">
      <c r="A167" s="218">
        <v>2334</v>
      </c>
      <c r="B167" s="219" t="s">
        <v>158</v>
      </c>
      <c r="C167" s="239">
        <f>ROUND(VLOOKUP(A167,'Contribution Allocation_Report'!$A$9:$D$310,4,FALSE)*$C$311,0)</f>
        <v>712967</v>
      </c>
      <c r="D167" s="239">
        <f>ROUND(VLOOKUP(A167,'Contribution Allocation_Report'!$A$9:$D$310,4,FALSE)*$D$311,0)</f>
        <v>886420</v>
      </c>
      <c r="E167" s="239">
        <f>ROUND(VLOOKUP(A167,'Contribution Allocation_Report'!$A$9:$D$310,4,FALSE)*$E$311,0)</f>
        <v>1026102</v>
      </c>
      <c r="F167" s="182"/>
    </row>
    <row r="168" spans="1:6">
      <c r="A168" s="220">
        <v>30089</v>
      </c>
      <c r="B168" s="221" t="s">
        <v>159</v>
      </c>
      <c r="C168" s="240">
        <f>ROUND(VLOOKUP(A168,'Contribution Allocation_Report'!$A$9:$D$310,4,FALSE)*$C$311,0)</f>
        <v>2173836</v>
      </c>
      <c r="D168" s="240">
        <f>ROUND(VLOOKUP(A168,'Contribution Allocation_Report'!$A$9:$D$310,4,FALSE)*$D$311,0)</f>
        <v>2702693</v>
      </c>
      <c r="E168" s="240">
        <f>ROUND(VLOOKUP(A168,'Contribution Allocation_Report'!$A$9:$D$310,4,FALSE)*$E$311,0)</f>
        <v>3128582</v>
      </c>
      <c r="F168" s="182"/>
    </row>
    <row r="169" spans="1:6">
      <c r="A169" s="218">
        <v>9324</v>
      </c>
      <c r="B169" s="219" t="s">
        <v>160</v>
      </c>
      <c r="C169" s="239">
        <f>ROUND(VLOOKUP(A169,'Contribution Allocation_Report'!$A$9:$D$310,4,FALSE)*$C$311,0)</f>
        <v>314140</v>
      </c>
      <c r="D169" s="239">
        <f>ROUND(VLOOKUP(A169,'Contribution Allocation_Report'!$A$9:$D$310,4,FALSE)*$D$311,0)</f>
        <v>390565</v>
      </c>
      <c r="E169" s="239">
        <f>ROUND(VLOOKUP(A169,'Contribution Allocation_Report'!$A$9:$D$310,4,FALSE)*$E$311,0)</f>
        <v>452109</v>
      </c>
      <c r="F169" s="182"/>
    </row>
    <row r="170" spans="1:6">
      <c r="A170" s="220">
        <v>22066</v>
      </c>
      <c r="B170" s="221" t="s">
        <v>161</v>
      </c>
      <c r="C170" s="240">
        <f>ROUND(VLOOKUP(A170,'Contribution Allocation_Report'!$A$9:$D$310,4,FALSE)*$C$311,0)</f>
        <v>8378558</v>
      </c>
      <c r="D170" s="240">
        <f>ROUND(VLOOKUP(A170,'Contribution Allocation_Report'!$A$9:$D$310,4,FALSE)*$D$311,0)</f>
        <v>10416918</v>
      </c>
      <c r="E170" s="240">
        <f>ROUND(VLOOKUP(A170,'Contribution Allocation_Report'!$A$9:$D$310,4,FALSE)*$E$311,0)</f>
        <v>12058410</v>
      </c>
      <c r="F170" s="182"/>
    </row>
    <row r="171" spans="1:6">
      <c r="A171" s="218">
        <v>16356</v>
      </c>
      <c r="B171" s="219" t="s">
        <v>162</v>
      </c>
      <c r="C171" s="239">
        <f>ROUND(VLOOKUP(A171,'Contribution Allocation_Report'!$A$9:$D$310,4,FALSE)*$C$311,0)</f>
        <v>521890</v>
      </c>
      <c r="D171" s="239">
        <f>ROUND(VLOOKUP(A171,'Contribution Allocation_Report'!$A$9:$D$310,4,FALSE)*$D$311,0)</f>
        <v>648857</v>
      </c>
      <c r="E171" s="239">
        <f>ROUND(VLOOKUP(A171,'Contribution Allocation_Report'!$A$9:$D$310,4,FALSE)*$E$311,0)</f>
        <v>751103</v>
      </c>
      <c r="F171" s="182"/>
    </row>
    <row r="172" spans="1:6">
      <c r="A172" s="220">
        <v>31091</v>
      </c>
      <c r="B172" s="221" t="s">
        <v>163</v>
      </c>
      <c r="C172" s="240">
        <f>ROUND(VLOOKUP(A172,'Contribution Allocation_Report'!$A$9:$D$310,4,FALSE)*$C$311,0)</f>
        <v>496219</v>
      </c>
      <c r="D172" s="240">
        <f>ROUND(VLOOKUP(A172,'Contribution Allocation_Report'!$A$9:$D$310,4,FALSE)*$D$311,0)</f>
        <v>616941</v>
      </c>
      <c r="E172" s="240">
        <f>ROUND(VLOOKUP(A172,'Contribution Allocation_Report'!$A$9:$D$310,4,FALSE)*$E$311,0)</f>
        <v>714158</v>
      </c>
      <c r="F172" s="182"/>
    </row>
    <row r="173" spans="1:6">
      <c r="A173" s="218">
        <v>2342</v>
      </c>
      <c r="B173" s="219" t="s">
        <v>164</v>
      </c>
      <c r="C173" s="239">
        <f>ROUND(VLOOKUP(A173,'Contribution Allocation_Report'!$A$9:$D$310,4,FALSE)*$C$311,0)</f>
        <v>789187</v>
      </c>
      <c r="D173" s="239">
        <f>ROUND(VLOOKUP(A173,'Contribution Allocation_Report'!$A$9:$D$310,4,FALSE)*$D$311,0)</f>
        <v>981182</v>
      </c>
      <c r="E173" s="239">
        <f>ROUND(VLOOKUP(A173,'Contribution Allocation_Report'!$A$9:$D$310,4,FALSE)*$E$311,0)</f>
        <v>1135796</v>
      </c>
      <c r="F173" s="182"/>
    </row>
    <row r="174" spans="1:6">
      <c r="A174" s="220">
        <v>22067</v>
      </c>
      <c r="B174" s="221" t="s">
        <v>165</v>
      </c>
      <c r="C174" s="240">
        <f>ROUND(VLOOKUP(A174,'Contribution Allocation_Report'!$A$9:$D$310,4,FALSE)*$C$311,0)</f>
        <v>1167372</v>
      </c>
      <c r="D174" s="240">
        <f>ROUND(VLOOKUP(A174,'Contribution Allocation_Report'!$A$9:$D$310,4,FALSE)*$D$311,0)</f>
        <v>1451373</v>
      </c>
      <c r="E174" s="240">
        <f>ROUND(VLOOKUP(A174,'Contribution Allocation_Report'!$A$9:$D$310,4,FALSE)*$E$311,0)</f>
        <v>1680080</v>
      </c>
      <c r="F174" s="182"/>
    </row>
    <row r="175" spans="1:6">
      <c r="A175" s="218">
        <v>32112</v>
      </c>
      <c r="B175" s="219" t="s">
        <v>166</v>
      </c>
      <c r="C175" s="239">
        <f>ROUND(VLOOKUP(A175,'Contribution Allocation_Report'!$A$9:$D$310,4,FALSE)*$C$311,0)</f>
        <v>689678</v>
      </c>
      <c r="D175" s="239">
        <f>ROUND(VLOOKUP(A175,'Contribution Allocation_Report'!$A$9:$D$310,4,FALSE)*$D$311,0)</f>
        <v>857465</v>
      </c>
      <c r="E175" s="239">
        <f>ROUND(VLOOKUP(A175,'Contribution Allocation_Report'!$A$9:$D$310,4,FALSE)*$E$311,0)</f>
        <v>992584</v>
      </c>
      <c r="F175" s="182"/>
    </row>
    <row r="176" spans="1:6">
      <c r="A176" s="220">
        <v>2354</v>
      </c>
      <c r="B176" s="221" t="s">
        <v>167</v>
      </c>
      <c r="C176" s="240">
        <f>ROUND(VLOOKUP(A176,'Contribution Allocation_Report'!$A$9:$D$310,4,FALSE)*$C$311,0)</f>
        <v>1798827</v>
      </c>
      <c r="D176" s="240">
        <f>ROUND(VLOOKUP(A176,'Contribution Allocation_Report'!$A$9:$D$310,4,FALSE)*$D$311,0)</f>
        <v>2236451</v>
      </c>
      <c r="E176" s="240">
        <f>ROUND(VLOOKUP(A176,'Contribution Allocation_Report'!$A$9:$D$310,4,FALSE)*$E$311,0)</f>
        <v>2588869</v>
      </c>
      <c r="F176" s="182"/>
    </row>
    <row r="177" spans="1:6">
      <c r="A177" s="218">
        <v>2148</v>
      </c>
      <c r="B177" s="219" t="s">
        <v>168</v>
      </c>
      <c r="C177" s="239">
        <f>ROUND(VLOOKUP(A177,'Contribution Allocation_Report'!$A$9:$D$310,4,FALSE)*$C$311,0)</f>
        <v>640983</v>
      </c>
      <c r="D177" s="239">
        <f>ROUND(VLOOKUP(A177,'Contribution Allocation_Report'!$A$9:$D$310,4,FALSE)*$D$311,0)</f>
        <v>796923</v>
      </c>
      <c r="E177" s="239">
        <f>ROUND(VLOOKUP(A177,'Contribution Allocation_Report'!$A$9:$D$310,4,FALSE)*$E$311,0)</f>
        <v>922501</v>
      </c>
      <c r="F177" s="182"/>
    </row>
    <row r="178" spans="1:6">
      <c r="A178" s="220">
        <v>1418</v>
      </c>
      <c r="B178" s="221" t="s">
        <v>169</v>
      </c>
      <c r="C178" s="240">
        <f>ROUND(VLOOKUP(A178,'Contribution Allocation_Report'!$A$9:$D$310,4,FALSE)*$C$311,0)</f>
        <v>2472891</v>
      </c>
      <c r="D178" s="240">
        <f>ROUND(VLOOKUP(A178,'Contribution Allocation_Report'!$A$9:$D$310,4,FALSE)*$D$311,0)</f>
        <v>3074503</v>
      </c>
      <c r="E178" s="240">
        <f>ROUND(VLOOKUP(A178,'Contribution Allocation_Report'!$A$9:$D$310,4,FALSE)*$E$311,0)</f>
        <v>3558981</v>
      </c>
      <c r="F178" s="182"/>
    </row>
    <row r="179" spans="1:6">
      <c r="A179" s="218">
        <v>12102</v>
      </c>
      <c r="B179" s="219" t="s">
        <v>170</v>
      </c>
      <c r="C179" s="239">
        <f>ROUND(VLOOKUP(A179,'Contribution Allocation_Report'!$A$9:$D$310,4,FALSE)*$C$311,0)</f>
        <v>14014018</v>
      </c>
      <c r="D179" s="239">
        <f>ROUND(VLOOKUP(A179,'Contribution Allocation_Report'!$A$9:$D$310,4,FALSE)*$D$311,0)</f>
        <v>17423389</v>
      </c>
      <c r="E179" s="239">
        <f>ROUND(VLOOKUP(A179,'Contribution Allocation_Report'!$A$9:$D$310,4,FALSE)*$E$311,0)</f>
        <v>20168956</v>
      </c>
      <c r="F179" s="182"/>
    </row>
    <row r="180" spans="1:6">
      <c r="A180" s="220">
        <v>2414</v>
      </c>
      <c r="B180" s="221" t="s">
        <v>171</v>
      </c>
      <c r="C180" s="240">
        <f>ROUND(VLOOKUP(A180,'Contribution Allocation_Report'!$A$9:$D$310,4,FALSE)*$C$311,0)</f>
        <v>1063100</v>
      </c>
      <c r="D180" s="240">
        <f>ROUND(VLOOKUP(A180,'Contribution Allocation_Report'!$A$9:$D$310,4,FALSE)*$D$311,0)</f>
        <v>1321734</v>
      </c>
      <c r="E180" s="240">
        <f>ROUND(VLOOKUP(A180,'Contribution Allocation_Report'!$A$9:$D$310,4,FALSE)*$E$311,0)</f>
        <v>1530011</v>
      </c>
      <c r="F180" s="182"/>
    </row>
    <row r="181" spans="1:6">
      <c r="A181" s="218">
        <v>6124</v>
      </c>
      <c r="B181" s="219" t="s">
        <v>172</v>
      </c>
      <c r="C181" s="239">
        <f>ROUND(VLOOKUP(A181,'Contribution Allocation_Report'!$A$9:$D$310,4,FALSE)*$C$311,0)</f>
        <v>6592170</v>
      </c>
      <c r="D181" s="239">
        <f>ROUND(VLOOKUP(A181,'Contribution Allocation_Report'!$A$9:$D$310,4,FALSE)*$D$311,0)</f>
        <v>8195932</v>
      </c>
      <c r="E181" s="239">
        <f>ROUND(VLOOKUP(A181,'Contribution Allocation_Report'!$A$9:$D$310,4,FALSE)*$E$311,0)</f>
        <v>9487442</v>
      </c>
      <c r="F181" s="182"/>
    </row>
    <row r="182" spans="1:6">
      <c r="A182" s="220">
        <v>4097</v>
      </c>
      <c r="B182" s="221" t="s">
        <v>173</v>
      </c>
      <c r="C182" s="240">
        <f>ROUND(VLOOKUP(A182,'Contribution Allocation_Report'!$A$9:$D$310,4,FALSE)*$C$311,0)</f>
        <v>7801092</v>
      </c>
      <c r="D182" s="240">
        <f>ROUND(VLOOKUP(A182,'Contribution Allocation_Report'!$A$9:$D$310,4,FALSE)*$D$311,0)</f>
        <v>9698964</v>
      </c>
      <c r="E182" s="240">
        <f>ROUND(VLOOKUP(A182,'Contribution Allocation_Report'!$A$9:$D$310,4,FALSE)*$E$311,0)</f>
        <v>11227321</v>
      </c>
      <c r="F182" s="182"/>
    </row>
    <row r="183" spans="1:6">
      <c r="A183" s="218">
        <v>1416</v>
      </c>
      <c r="B183" s="219" t="s">
        <v>174</v>
      </c>
      <c r="C183" s="239">
        <f>ROUND(VLOOKUP(A183,'Contribution Allocation_Report'!$A$9:$D$310,4,FALSE)*$C$311,0)</f>
        <v>961474</v>
      </c>
      <c r="D183" s="239">
        <f>ROUND(VLOOKUP(A183,'Contribution Allocation_Report'!$A$9:$D$310,4,FALSE)*$D$311,0)</f>
        <v>1195384</v>
      </c>
      <c r="E183" s="239">
        <f>ROUND(VLOOKUP(A183,'Contribution Allocation_Report'!$A$9:$D$310,4,FALSE)*$E$311,0)</f>
        <v>1383752</v>
      </c>
      <c r="F183" s="182"/>
    </row>
    <row r="184" spans="1:6">
      <c r="A184" s="220">
        <v>1094</v>
      </c>
      <c r="B184" s="221" t="s">
        <v>175</v>
      </c>
      <c r="C184" s="240">
        <f>ROUND(VLOOKUP(A184,'Contribution Allocation_Report'!$A$9:$D$310,4,FALSE)*$C$311,0)</f>
        <v>5826272</v>
      </c>
      <c r="D184" s="240">
        <f>ROUND(VLOOKUP(A184,'Contribution Allocation_Report'!$A$9:$D$310,4,FALSE)*$D$311,0)</f>
        <v>7243705</v>
      </c>
      <c r="E184" s="240">
        <f>ROUND(VLOOKUP(A184,'Contribution Allocation_Report'!$A$9:$D$310,4,FALSE)*$E$311,0)</f>
        <v>8385164</v>
      </c>
      <c r="F184" s="182"/>
    </row>
    <row r="185" spans="1:6">
      <c r="A185" s="218">
        <v>32111</v>
      </c>
      <c r="B185" s="219" t="s">
        <v>176</v>
      </c>
      <c r="C185" s="239">
        <f>ROUND(VLOOKUP(A185,'Contribution Allocation_Report'!$A$9:$D$310,4,FALSE)*$C$311,0)</f>
        <v>5346197</v>
      </c>
      <c r="D185" s="239">
        <f>ROUND(VLOOKUP(A185,'Contribution Allocation_Report'!$A$9:$D$310,4,FALSE)*$D$311,0)</f>
        <v>6646836</v>
      </c>
      <c r="E185" s="239">
        <f>ROUND(VLOOKUP(A185,'Contribution Allocation_Report'!$A$9:$D$310,4,FALSE)*$E$311,0)</f>
        <v>7694240</v>
      </c>
      <c r="F185" s="182"/>
    </row>
    <row r="186" spans="1:6">
      <c r="A186" s="220">
        <v>2520</v>
      </c>
      <c r="B186" s="221" t="s">
        <v>177</v>
      </c>
      <c r="C186" s="240">
        <f>ROUND(VLOOKUP(A186,'Contribution Allocation_Report'!$A$9:$D$310,4,FALSE)*$C$311,0)</f>
        <v>739168</v>
      </c>
      <c r="D186" s="240">
        <f>ROUND(VLOOKUP(A186,'Contribution Allocation_Report'!$A$9:$D$310,4,FALSE)*$D$311,0)</f>
        <v>918995</v>
      </c>
      <c r="E186" s="240">
        <f>ROUND(VLOOKUP(A186,'Contribution Allocation_Report'!$A$9:$D$310,4,FALSE)*$E$311,0)</f>
        <v>1063809</v>
      </c>
      <c r="F186" s="182"/>
    </row>
    <row r="187" spans="1:6">
      <c r="A187" s="218">
        <v>3450</v>
      </c>
      <c r="B187" s="219" t="s">
        <v>178</v>
      </c>
      <c r="C187" s="239">
        <f>ROUND(VLOOKUP(A187,'Contribution Allocation_Report'!$A$9:$D$310,4,FALSE)*$C$311,0)</f>
        <v>1507447</v>
      </c>
      <c r="D187" s="239">
        <f>ROUND(VLOOKUP(A187,'Contribution Allocation_Report'!$A$9:$D$310,4,FALSE)*$D$311,0)</f>
        <v>1874183</v>
      </c>
      <c r="E187" s="239">
        <f>ROUND(VLOOKUP(A187,'Contribution Allocation_Report'!$A$9:$D$310,4,FALSE)*$E$311,0)</f>
        <v>2169516</v>
      </c>
      <c r="F187" s="182"/>
    </row>
    <row r="188" spans="1:6">
      <c r="A188" s="220">
        <v>4310</v>
      </c>
      <c r="B188" s="221" t="s">
        <v>179</v>
      </c>
      <c r="C188" s="240">
        <f>ROUND(VLOOKUP(A188,'Contribution Allocation_Report'!$A$9:$D$310,4,FALSE)*$C$311,0)</f>
        <v>861171</v>
      </c>
      <c r="D188" s="240">
        <f>ROUND(VLOOKUP(A188,'Contribution Allocation_Report'!$A$9:$D$310,4,FALSE)*$D$311,0)</f>
        <v>1070680</v>
      </c>
      <c r="E188" s="240">
        <f>ROUND(VLOOKUP(A188,'Contribution Allocation_Report'!$A$9:$D$310,4,FALSE)*$E$311,0)</f>
        <v>1239397</v>
      </c>
      <c r="F188" s="182"/>
    </row>
    <row r="189" spans="1:6">
      <c r="A189" s="218">
        <v>2328</v>
      </c>
      <c r="B189" s="219" t="s">
        <v>180</v>
      </c>
      <c r="C189" s="239">
        <f>ROUND(VLOOKUP(A189,'Contribution Allocation_Report'!$A$9:$D$310,4,FALSE)*$C$311,0)</f>
        <v>1402646</v>
      </c>
      <c r="D189" s="239">
        <f>ROUND(VLOOKUP(A189,'Contribution Allocation_Report'!$A$9:$D$310,4,FALSE)*$D$311,0)</f>
        <v>1743885</v>
      </c>
      <c r="E189" s="239">
        <f>ROUND(VLOOKUP(A189,'Contribution Allocation_Report'!$A$9:$D$310,4,FALSE)*$E$311,0)</f>
        <v>2018686</v>
      </c>
      <c r="F189" s="182"/>
    </row>
    <row r="190" spans="1:6">
      <c r="A190" s="220">
        <v>12151</v>
      </c>
      <c r="B190" s="221" t="s">
        <v>181</v>
      </c>
      <c r="C190" s="240">
        <f>ROUND(VLOOKUP(A190,'Contribution Allocation_Report'!$A$9:$D$310,4,FALSE)*$C$311,0)</f>
        <v>463667</v>
      </c>
      <c r="D190" s="240">
        <f>ROUND(VLOOKUP(A190,'Contribution Allocation_Report'!$A$9:$D$310,4,FALSE)*$D$311,0)</f>
        <v>576469</v>
      </c>
      <c r="E190" s="240">
        <f>ROUND(VLOOKUP(A190,'Contribution Allocation_Report'!$A$9:$D$310,4,FALSE)*$E$311,0)</f>
        <v>667309</v>
      </c>
      <c r="F190" s="182"/>
    </row>
    <row r="191" spans="1:6">
      <c r="A191" s="218">
        <v>32110</v>
      </c>
      <c r="B191" s="219" t="s">
        <v>182</v>
      </c>
      <c r="C191" s="239">
        <f>ROUND(VLOOKUP(A191,'Contribution Allocation_Report'!$A$9:$D$310,4,FALSE)*$C$311,0)</f>
        <v>5359430</v>
      </c>
      <c r="D191" s="239">
        <f>ROUND(VLOOKUP(A191,'Contribution Allocation_Report'!$A$9:$D$310,4,FALSE)*$D$311,0)</f>
        <v>6663287</v>
      </c>
      <c r="E191" s="239">
        <f>ROUND(VLOOKUP(A191,'Contribution Allocation_Report'!$A$9:$D$310,4,FALSE)*$E$311,0)</f>
        <v>7713284</v>
      </c>
      <c r="F191" s="182"/>
    </row>
    <row r="192" spans="1:6">
      <c r="A192" s="220">
        <v>4215</v>
      </c>
      <c r="B192" s="221" t="s">
        <v>183</v>
      </c>
      <c r="C192" s="240">
        <f>ROUND(VLOOKUP(A192,'Contribution Allocation_Report'!$A$9:$D$310,4,FALSE)*$C$311,0)</f>
        <v>78336</v>
      </c>
      <c r="D192" s="240">
        <f>ROUND(VLOOKUP(A192,'Contribution Allocation_Report'!$A$9:$D$310,4,FALSE)*$D$311,0)</f>
        <v>97394</v>
      </c>
      <c r="E192" s="240">
        <f>ROUND(VLOOKUP(A192,'Contribution Allocation_Report'!$A$9:$D$310,4,FALSE)*$E$311,0)</f>
        <v>112742</v>
      </c>
      <c r="F192" s="182"/>
    </row>
    <row r="193" spans="1:6">
      <c r="A193" s="218">
        <v>2870</v>
      </c>
      <c r="B193" s="219" t="s">
        <v>184</v>
      </c>
      <c r="C193" s="239">
        <f>ROUND(VLOOKUP(A193,'Contribution Allocation_Report'!$A$9:$D$310,4,FALSE)*$C$311,0)</f>
        <v>852967</v>
      </c>
      <c r="D193" s="239">
        <f>ROUND(VLOOKUP(A193,'Contribution Allocation_Report'!$A$9:$D$310,4,FALSE)*$D$311,0)</f>
        <v>1060480</v>
      </c>
      <c r="E193" s="239">
        <f>ROUND(VLOOKUP(A193,'Contribution Allocation_Report'!$A$9:$D$310,4,FALSE)*$E$311,0)</f>
        <v>1227589</v>
      </c>
      <c r="F193" s="182"/>
    </row>
    <row r="194" spans="1:6">
      <c r="A194" s="220">
        <v>29150</v>
      </c>
      <c r="B194" s="221" t="s">
        <v>185</v>
      </c>
      <c r="C194" s="240">
        <f>ROUND(VLOOKUP(A194,'Contribution Allocation_Report'!$A$9:$D$310,4,FALSE)*$C$311,0)</f>
        <v>260416</v>
      </c>
      <c r="D194" s="240">
        <f>ROUND(VLOOKUP(A194,'Contribution Allocation_Report'!$A$9:$D$310,4,FALSE)*$D$311,0)</f>
        <v>323770</v>
      </c>
      <c r="E194" s="240">
        <f>ROUND(VLOOKUP(A194,'Contribution Allocation_Report'!$A$9:$D$310,4,FALSE)*$E$311,0)</f>
        <v>374790</v>
      </c>
      <c r="F194" s="182"/>
    </row>
    <row r="195" spans="1:6">
      <c r="A195" s="218">
        <v>2311</v>
      </c>
      <c r="B195" s="219" t="s">
        <v>186</v>
      </c>
      <c r="C195" s="239">
        <f>ROUND(VLOOKUP(A195,'Contribution Allocation_Report'!$A$9:$D$310,4,FALSE)*$C$311,0)</f>
        <v>711380</v>
      </c>
      <c r="D195" s="239">
        <f>ROUND(VLOOKUP(A195,'Contribution Allocation_Report'!$A$9:$D$310,4,FALSE)*$D$311,0)</f>
        <v>884446</v>
      </c>
      <c r="E195" s="239">
        <f>ROUND(VLOOKUP(A195,'Contribution Allocation_Report'!$A$9:$D$310,4,FALSE)*$E$311,0)</f>
        <v>1023816</v>
      </c>
      <c r="F195" s="182"/>
    </row>
    <row r="196" spans="1:6">
      <c r="A196" s="220">
        <v>32118</v>
      </c>
      <c r="B196" s="221" t="s">
        <v>187</v>
      </c>
      <c r="C196" s="240">
        <f>ROUND(VLOOKUP(A196,'Contribution Allocation_Report'!$A$9:$D$310,4,FALSE)*$C$311,0)</f>
        <v>2467068</v>
      </c>
      <c r="D196" s="240">
        <f>ROUND(VLOOKUP(A196,'Contribution Allocation_Report'!$A$9:$D$310,4,FALSE)*$D$311,0)</f>
        <v>3067264</v>
      </c>
      <c r="E196" s="240">
        <f>ROUND(VLOOKUP(A196,'Contribution Allocation_Report'!$A$9:$D$310,4,FALSE)*$E$311,0)</f>
        <v>3550602</v>
      </c>
      <c r="F196" s="182"/>
    </row>
    <row r="197" spans="1:6">
      <c r="A197" s="218">
        <v>12039</v>
      </c>
      <c r="B197" s="219" t="s">
        <v>188</v>
      </c>
      <c r="C197" s="239">
        <f>ROUND(VLOOKUP(A197,'Contribution Allocation_Report'!$A$9:$D$310,4,FALSE)*$C$311,0)</f>
        <v>2316747</v>
      </c>
      <c r="D197" s="239">
        <f>ROUND(VLOOKUP(A197,'Contribution Allocation_Report'!$A$9:$D$310,4,FALSE)*$D$311,0)</f>
        <v>2880372</v>
      </c>
      <c r="E197" s="239">
        <f>ROUND(VLOOKUP(A197,'Contribution Allocation_Report'!$A$9:$D$310,4,FALSE)*$E$311,0)</f>
        <v>3334260</v>
      </c>
      <c r="F197" s="182"/>
    </row>
    <row r="198" spans="1:6">
      <c r="A198" s="220">
        <v>12150</v>
      </c>
      <c r="B198" s="221" t="s">
        <v>189</v>
      </c>
      <c r="C198" s="240">
        <f>ROUND(VLOOKUP(A198,'Contribution Allocation_Report'!$A$9:$D$310,4,FALSE)*$C$311,0)</f>
        <v>449376</v>
      </c>
      <c r="D198" s="240">
        <f>ROUND(VLOOKUP(A198,'Contribution Allocation_Report'!$A$9:$D$310,4,FALSE)*$D$311,0)</f>
        <v>558701</v>
      </c>
      <c r="E198" s="240">
        <f>ROUND(VLOOKUP(A198,'Contribution Allocation_Report'!$A$9:$D$310,4,FALSE)*$E$311,0)</f>
        <v>646741</v>
      </c>
      <c r="F198" s="182"/>
    </row>
    <row r="199" spans="1:6">
      <c r="A199" s="218">
        <v>20060</v>
      </c>
      <c r="B199" s="219" t="s">
        <v>190</v>
      </c>
      <c r="C199" s="239">
        <f>ROUND(VLOOKUP(A199,'Contribution Allocation_Report'!$A$9:$D$310,4,FALSE)*$C$311,0)</f>
        <v>1644007</v>
      </c>
      <c r="D199" s="239">
        <f>ROUND(VLOOKUP(A199,'Contribution Allocation_Report'!$A$9:$D$310,4,FALSE)*$D$311,0)</f>
        <v>2043965</v>
      </c>
      <c r="E199" s="239">
        <f>ROUND(VLOOKUP(A199,'Contribution Allocation_Report'!$A$9:$D$310,4,FALSE)*$E$311,0)</f>
        <v>2366052</v>
      </c>
      <c r="F199" s="182"/>
    </row>
    <row r="200" spans="1:6">
      <c r="A200" s="220">
        <v>1001</v>
      </c>
      <c r="B200" s="221" t="s">
        <v>191</v>
      </c>
      <c r="C200" s="240">
        <f>ROUND(VLOOKUP(A200,'Contribution Allocation_Report'!$A$9:$D$310,4,FALSE)*$C$311,0)</f>
        <v>4559392</v>
      </c>
      <c r="D200" s="240">
        <f>ROUND(VLOOKUP(A200,'Contribution Allocation_Report'!$A$9:$D$310,4,FALSE)*$D$311,0)</f>
        <v>5668615</v>
      </c>
      <c r="E200" s="240">
        <f>ROUND(VLOOKUP(A200,'Contribution Allocation_Report'!$A$9:$D$310,4,FALSE)*$E$311,0)</f>
        <v>6561872</v>
      </c>
      <c r="F200" s="182"/>
    </row>
    <row r="201" spans="1:6">
      <c r="A201" s="218">
        <v>11035</v>
      </c>
      <c r="B201" s="219" t="s">
        <v>192</v>
      </c>
      <c r="C201" s="239">
        <f>ROUND(VLOOKUP(A201,'Contribution Allocation_Report'!$A$9:$D$310,4,FALSE)*$C$311,0)</f>
        <v>10532810</v>
      </c>
      <c r="D201" s="239">
        <f>ROUND(VLOOKUP(A201,'Contribution Allocation_Report'!$A$9:$D$310,4,FALSE)*$D$311,0)</f>
        <v>13095263</v>
      </c>
      <c r="E201" s="239">
        <f>ROUND(VLOOKUP(A201,'Contribution Allocation_Report'!$A$9:$D$310,4,FALSE)*$E$311,0)</f>
        <v>15158807</v>
      </c>
      <c r="F201" s="182"/>
    </row>
    <row r="202" spans="1:6">
      <c r="A202" s="220">
        <v>2320</v>
      </c>
      <c r="B202" s="221" t="s">
        <v>193</v>
      </c>
      <c r="C202" s="240">
        <f>ROUND(VLOOKUP(A202,'Contribution Allocation_Report'!$A$9:$D$310,4,FALSE)*$C$311,0)</f>
        <v>1265292</v>
      </c>
      <c r="D202" s="240">
        <f>ROUND(VLOOKUP(A202,'Contribution Allocation_Report'!$A$9:$D$310,4,FALSE)*$D$311,0)</f>
        <v>1573116</v>
      </c>
      <c r="E202" s="240">
        <f>ROUND(VLOOKUP(A202,'Contribution Allocation_Report'!$A$9:$D$310,4,FALSE)*$E$311,0)</f>
        <v>1821007</v>
      </c>
      <c r="F202" s="182"/>
    </row>
    <row r="203" spans="1:6">
      <c r="A203" s="218">
        <v>28084</v>
      </c>
      <c r="B203" s="219" t="s">
        <v>194</v>
      </c>
      <c r="C203" s="239">
        <f>ROUND(VLOOKUP(A203,'Contribution Allocation_Report'!$A$9:$D$310,4,FALSE)*$C$311,0)</f>
        <v>1000377</v>
      </c>
      <c r="D203" s="239">
        <f>ROUND(VLOOKUP(A203,'Contribution Allocation_Report'!$A$9:$D$310,4,FALSE)*$D$311,0)</f>
        <v>1243752</v>
      </c>
      <c r="E203" s="239">
        <f>ROUND(VLOOKUP(A203,'Contribution Allocation_Report'!$A$9:$D$310,4,FALSE)*$E$311,0)</f>
        <v>1439742</v>
      </c>
      <c r="F203" s="182"/>
    </row>
    <row r="204" spans="1:6">
      <c r="A204" s="220">
        <v>20125</v>
      </c>
      <c r="B204" s="221" t="s">
        <v>195</v>
      </c>
      <c r="C204" s="240">
        <f>ROUND(VLOOKUP(A204,'Contribution Allocation_Report'!$A$9:$D$310,4,FALSE)*$C$311,0)</f>
        <v>1169489</v>
      </c>
      <c r="D204" s="240">
        <f>ROUND(VLOOKUP(A204,'Contribution Allocation_Report'!$A$9:$D$310,4,FALSE)*$D$311,0)</f>
        <v>1454006</v>
      </c>
      <c r="E204" s="240">
        <f>ROUND(VLOOKUP(A204,'Contribution Allocation_Report'!$A$9:$D$310,4,FALSE)*$E$311,0)</f>
        <v>1683127</v>
      </c>
      <c r="F204" s="182"/>
    </row>
    <row r="205" spans="1:6" s="215" customFormat="1">
      <c r="A205" s="218">
        <v>7445</v>
      </c>
      <c r="B205" s="219" t="s">
        <v>430</v>
      </c>
      <c r="C205" s="239">
        <f>ROUND(VLOOKUP(A205,'Contribution Allocation_Report'!$A$9:$D$310,4,FALSE)*$C$311,0)</f>
        <v>267561</v>
      </c>
      <c r="D205" s="239">
        <f>ROUND(VLOOKUP(A205,'Contribution Allocation_Report'!$A$9:$D$310,4,FALSE)*$D$311,0)</f>
        <v>332654</v>
      </c>
      <c r="E205" s="239">
        <f>ROUND(VLOOKUP(A205,'Contribution Allocation_Report'!$A$9:$D$310,4,FALSE)*$E$311,0)</f>
        <v>385074</v>
      </c>
      <c r="F205" s="217"/>
    </row>
    <row r="206" spans="1:6">
      <c r="A206" s="220">
        <v>4170</v>
      </c>
      <c r="B206" s="221" t="s">
        <v>196</v>
      </c>
      <c r="C206" s="240">
        <f>ROUND(VLOOKUP(A206,'Contribution Allocation_Report'!$A$9:$D$310,4,FALSE)*$C$311,0)</f>
        <v>57164</v>
      </c>
      <c r="D206" s="240">
        <f>ROUND(VLOOKUP(A206,'Contribution Allocation_Report'!$A$9:$D$310,4,FALSE)*$D$311,0)</f>
        <v>71072</v>
      </c>
      <c r="E206" s="240">
        <f>ROUND(VLOOKUP(A206,'Contribution Allocation_Report'!$A$9:$D$310,4,FALSE)*$E$311,0)</f>
        <v>82271</v>
      </c>
      <c r="F206" s="182"/>
    </row>
    <row r="207" spans="1:6">
      <c r="A207" s="218">
        <v>9029</v>
      </c>
      <c r="B207" s="219" t="s">
        <v>197</v>
      </c>
      <c r="C207" s="239">
        <f>ROUND(VLOOKUP(A207,'Contribution Allocation_Report'!$A$9:$D$310,4,FALSE)*$C$311,0)</f>
        <v>3104875</v>
      </c>
      <c r="D207" s="239">
        <f>ROUND(VLOOKUP(A207,'Contribution Allocation_Report'!$A$9:$D$310,4,FALSE)*$D$311,0)</f>
        <v>3860238</v>
      </c>
      <c r="E207" s="239">
        <f>ROUND(VLOOKUP(A207,'Contribution Allocation_Report'!$A$9:$D$310,4,FALSE)*$E$311,0)</f>
        <v>4468532</v>
      </c>
      <c r="F207" s="182"/>
    </row>
    <row r="208" spans="1:6">
      <c r="A208" s="220">
        <v>2580</v>
      </c>
      <c r="B208" s="221" t="s">
        <v>198</v>
      </c>
      <c r="C208" s="240">
        <f>ROUND(VLOOKUP(A208,'Contribution Allocation_Report'!$A$9:$D$310,4,FALSE)*$C$311,0)</f>
        <v>449641</v>
      </c>
      <c r="D208" s="240">
        <f>ROUND(VLOOKUP(A208,'Contribution Allocation_Report'!$A$9:$D$310,4,FALSE)*$D$311,0)</f>
        <v>559030</v>
      </c>
      <c r="E208" s="240">
        <f>ROUND(VLOOKUP(A208,'Contribution Allocation_Report'!$A$9:$D$310,4,FALSE)*$E$311,0)</f>
        <v>647122</v>
      </c>
      <c r="F208" s="182"/>
    </row>
    <row r="209" spans="1:6">
      <c r="A209" s="218">
        <v>20312</v>
      </c>
      <c r="B209" s="219" t="s">
        <v>199</v>
      </c>
      <c r="C209" s="239">
        <f>ROUND(VLOOKUP(A209,'Contribution Allocation_Report'!$A$9:$D$310,4,FALSE)*$C$311,0)</f>
        <v>340340</v>
      </c>
      <c r="D209" s="239">
        <f>ROUND(VLOOKUP(A209,'Contribution Allocation_Report'!$A$9:$D$310,4,FALSE)*$D$311,0)</f>
        <v>423139</v>
      </c>
      <c r="E209" s="239">
        <f>ROUND(VLOOKUP(A209,'Contribution Allocation_Report'!$A$9:$D$310,4,FALSE)*$E$311,0)</f>
        <v>489817</v>
      </c>
      <c r="F209" s="182"/>
    </row>
    <row r="210" spans="1:6">
      <c r="A210" s="220">
        <v>26150</v>
      </c>
      <c r="B210" s="221" t="s">
        <v>200</v>
      </c>
      <c r="C210" s="240">
        <f>ROUND(VLOOKUP(A210,'Contribution Allocation_Report'!$A$9:$D$310,4,FALSE)*$C$311,0)</f>
        <v>2243968</v>
      </c>
      <c r="D210" s="240">
        <f>ROUND(VLOOKUP(A210,'Contribution Allocation_Report'!$A$9:$D$310,4,FALSE)*$D$311,0)</f>
        <v>2789888</v>
      </c>
      <c r="E210" s="240">
        <f>ROUND(VLOOKUP(A210,'Contribution Allocation_Report'!$A$9:$D$310,4,FALSE)*$E$311,0)</f>
        <v>3229516</v>
      </c>
      <c r="F210" s="182"/>
    </row>
    <row r="211" spans="1:6">
      <c r="A211" s="218">
        <v>5016</v>
      </c>
      <c r="B211" s="219" t="s">
        <v>201</v>
      </c>
      <c r="C211" s="239">
        <f>ROUND(VLOOKUP(A211,'Contribution Allocation_Report'!$A$9:$D$310,4,FALSE)*$C$311,0)</f>
        <v>260151</v>
      </c>
      <c r="D211" s="239">
        <f>ROUND(VLOOKUP(A211,'Contribution Allocation_Report'!$A$9:$D$310,4,FALSE)*$D$311,0)</f>
        <v>323441</v>
      </c>
      <c r="E211" s="239">
        <f>ROUND(VLOOKUP(A211,'Contribution Allocation_Report'!$A$9:$D$310,4,FALSE)*$E$311,0)</f>
        <v>374409</v>
      </c>
      <c r="F211" s="182"/>
    </row>
    <row r="212" spans="1:6">
      <c r="A212" s="220">
        <v>6150</v>
      </c>
      <c r="B212" s="221" t="s">
        <v>202</v>
      </c>
      <c r="C212" s="240">
        <f>ROUND(VLOOKUP(A212,'Contribution Allocation_Report'!$A$9:$D$310,4,FALSE)*$C$311,0)</f>
        <v>215955</v>
      </c>
      <c r="D212" s="240">
        <f>ROUND(VLOOKUP(A212,'Contribution Allocation_Report'!$A$9:$D$310,4,FALSE)*$D$311,0)</f>
        <v>268493</v>
      </c>
      <c r="E212" s="240">
        <f>ROUND(VLOOKUP(A212,'Contribution Allocation_Report'!$A$9:$D$310,4,FALSE)*$E$311,0)</f>
        <v>310801</v>
      </c>
      <c r="F212" s="182"/>
    </row>
    <row r="213" spans="1:6">
      <c r="A213" s="218">
        <v>4480</v>
      </c>
      <c r="B213" s="219" t="s">
        <v>203</v>
      </c>
      <c r="C213" s="239">
        <f>ROUND(VLOOKUP(A213,'Contribution Allocation_Report'!$A$9:$D$310,4,FALSE)*$C$311,0)</f>
        <v>443289</v>
      </c>
      <c r="D213" s="239">
        <f>ROUND(VLOOKUP(A213,'Contribution Allocation_Report'!$A$9:$D$310,4,FALSE)*$D$311,0)</f>
        <v>551134</v>
      </c>
      <c r="E213" s="239">
        <f>ROUND(VLOOKUP(A213,'Contribution Allocation_Report'!$A$9:$D$310,4,FALSE)*$E$311,0)</f>
        <v>637981</v>
      </c>
      <c r="F213" s="182"/>
    </row>
    <row r="214" spans="1:6">
      <c r="A214" s="220">
        <v>28085</v>
      </c>
      <c r="B214" s="221" t="s">
        <v>204</v>
      </c>
      <c r="C214" s="240">
        <f>ROUND(VLOOKUP(A214,'Contribution Allocation_Report'!$A$9:$D$310,4,FALSE)*$C$311,0)</f>
        <v>819621</v>
      </c>
      <c r="D214" s="240">
        <f>ROUND(VLOOKUP(A214,'Contribution Allocation_Report'!$A$9:$D$310,4,FALSE)*$D$311,0)</f>
        <v>1019021</v>
      </c>
      <c r="E214" s="240">
        <f>ROUND(VLOOKUP(A214,'Contribution Allocation_Report'!$A$9:$D$310,4,FALSE)*$E$311,0)</f>
        <v>1179598</v>
      </c>
      <c r="F214" s="182"/>
    </row>
    <row r="215" spans="1:6">
      <c r="A215" s="218">
        <v>3240</v>
      </c>
      <c r="B215" s="219" t="s">
        <v>205</v>
      </c>
      <c r="C215" s="239">
        <f>ROUND(VLOOKUP(A215,'Contribution Allocation_Report'!$A$9:$D$310,4,FALSE)*$C$311,0)</f>
        <v>5421622</v>
      </c>
      <c r="D215" s="239">
        <f>ROUND(VLOOKUP(A215,'Contribution Allocation_Report'!$A$9:$D$310,4,FALSE)*$D$311,0)</f>
        <v>6740611</v>
      </c>
      <c r="E215" s="239">
        <f>ROUND(VLOOKUP(A215,'Contribution Allocation_Report'!$A$9:$D$310,4,FALSE)*$E$311,0)</f>
        <v>7802792</v>
      </c>
      <c r="F215" s="182"/>
    </row>
    <row r="216" spans="1:6">
      <c r="A216" s="220">
        <v>12326</v>
      </c>
      <c r="B216" s="221" t="s">
        <v>206</v>
      </c>
      <c r="C216" s="240">
        <f>ROUND(VLOOKUP(A216,'Contribution Allocation_Report'!$A$9:$D$310,4,FALSE)*$C$311,0)</f>
        <v>289263</v>
      </c>
      <c r="D216" s="240">
        <f>ROUND(VLOOKUP(A216,'Contribution Allocation_Report'!$A$9:$D$310,4,FALSE)*$D$311,0)</f>
        <v>359635</v>
      </c>
      <c r="E216" s="240">
        <f>ROUND(VLOOKUP(A216,'Contribution Allocation_Report'!$A$9:$D$310,4,FALSE)*$E$311,0)</f>
        <v>416306</v>
      </c>
      <c r="F216" s="182"/>
    </row>
    <row r="217" spans="1:6">
      <c r="A217" s="218">
        <v>29123</v>
      </c>
      <c r="B217" s="219" t="s">
        <v>207</v>
      </c>
      <c r="C217" s="239">
        <f>ROUND(VLOOKUP(A217,'Contribution Allocation_Report'!$A$9:$D$310,4,FALSE)*$C$311,0)</f>
        <v>59230550</v>
      </c>
      <c r="D217" s="239">
        <f>ROUND(VLOOKUP(A217,'Contribution Allocation_Report'!$A$9:$D$310,4,FALSE)*$D$311,0)</f>
        <v>73640332</v>
      </c>
      <c r="E217" s="239">
        <f>ROUND(VLOOKUP(A217,'Contribution Allocation_Report'!$A$9:$D$310,4,FALSE)*$E$311,0)</f>
        <v>85244531</v>
      </c>
      <c r="F217" s="182"/>
    </row>
    <row r="218" spans="1:6">
      <c r="A218" s="220">
        <v>2318</v>
      </c>
      <c r="B218" s="249" t="s">
        <v>208</v>
      </c>
      <c r="C218" s="272">
        <f>ROUND(VLOOKUP(A218,'Contribution Allocation_Report'!$A$9:$D$310,4,FALSE)*$C$311,0)</f>
        <v>1348128</v>
      </c>
      <c r="D218" s="272">
        <f>ROUND(VLOOKUP(A218,'Contribution Allocation_Report'!$A$9:$D$310,4,FALSE)*$D$311,0)</f>
        <v>1676104</v>
      </c>
      <c r="E218" s="272">
        <f>ROUND(VLOOKUP(A218,'Contribution Allocation_Report'!$A$9:$D$310,4,FALSE)*$E$311,0)</f>
        <v>1940224</v>
      </c>
      <c r="F218" s="182"/>
    </row>
    <row r="219" spans="1:6">
      <c r="A219" s="218">
        <v>3250</v>
      </c>
      <c r="B219" s="219" t="s">
        <v>209</v>
      </c>
      <c r="C219" s="239">
        <f>ROUND(VLOOKUP(A219,'Contribution Allocation_Report'!$A$9:$D$310,4,FALSE)*$C$311,0)</f>
        <v>1814971</v>
      </c>
      <c r="D219" s="239">
        <f>ROUND(VLOOKUP(A219,'Contribution Allocation_Report'!$A$9:$D$310,4,FALSE)*$D$311,0)</f>
        <v>2256522</v>
      </c>
      <c r="E219" s="239">
        <f>ROUND(VLOOKUP(A219,'Contribution Allocation_Report'!$A$9:$D$310,4,FALSE)*$E$311,0)</f>
        <v>2612103</v>
      </c>
      <c r="F219" s="182"/>
    </row>
    <row r="220" spans="1:6">
      <c r="A220" s="220">
        <v>2313</v>
      </c>
      <c r="B220" s="221" t="s">
        <v>210</v>
      </c>
      <c r="C220" s="240">
        <f>ROUND(VLOOKUP(A220,'Contribution Allocation_Report'!$A$9:$D$310,4,FALSE)*$C$311,0)</f>
        <v>186314</v>
      </c>
      <c r="D220" s="240">
        <f>ROUND(VLOOKUP(A220,'Contribution Allocation_Report'!$A$9:$D$310,4,FALSE)*$D$311,0)</f>
        <v>231641</v>
      </c>
      <c r="E220" s="240">
        <f>ROUND(VLOOKUP(A220,'Contribution Allocation_Report'!$A$9:$D$310,4,FALSE)*$E$311,0)</f>
        <v>268142</v>
      </c>
      <c r="F220" s="182"/>
    </row>
    <row r="221" spans="1:6">
      <c r="A221" s="218">
        <v>4011</v>
      </c>
      <c r="B221" s="219" t="s">
        <v>211</v>
      </c>
      <c r="C221" s="239">
        <f>ROUND(VLOOKUP(A221,'Contribution Allocation_Report'!$A$9:$D$310,4,FALSE)*$C$311,0)</f>
        <v>33563987</v>
      </c>
      <c r="D221" s="239">
        <f>ROUND(VLOOKUP(A221,'Contribution Allocation_Report'!$A$9:$D$310,4,FALSE)*$D$311,0)</f>
        <v>41729532</v>
      </c>
      <c r="E221" s="239">
        <f>ROUND(VLOOKUP(A221,'Contribution Allocation_Report'!$A$9:$D$310,4,FALSE)*$E$311,0)</f>
        <v>48305247</v>
      </c>
      <c r="F221" s="182"/>
    </row>
    <row r="222" spans="1:6">
      <c r="A222" s="220">
        <v>31092</v>
      </c>
      <c r="B222" s="221" t="s">
        <v>212</v>
      </c>
      <c r="C222" s="240">
        <f>ROUND(VLOOKUP(A222,'Contribution Allocation_Report'!$A$9:$D$310,4,FALSE)*$C$311,0)</f>
        <v>540416</v>
      </c>
      <c r="D222" s="240">
        <f>ROUND(VLOOKUP(A222,'Contribution Allocation_Report'!$A$9:$D$310,4,FALSE)*$D$311,0)</f>
        <v>671889</v>
      </c>
      <c r="E222" s="240">
        <f>ROUND(VLOOKUP(A222,'Contribution Allocation_Report'!$A$9:$D$310,4,FALSE)*$E$311,0)</f>
        <v>777765</v>
      </c>
      <c r="F222" s="182"/>
    </row>
    <row r="223" spans="1:6">
      <c r="A223" s="218">
        <v>26081</v>
      </c>
      <c r="B223" s="219" t="s">
        <v>213</v>
      </c>
      <c r="C223" s="239">
        <f>ROUND(VLOOKUP(A223,'Contribution Allocation_Report'!$A$9:$D$310,4,FALSE)*$C$311,0)</f>
        <v>5900374</v>
      </c>
      <c r="D223" s="239">
        <f>ROUND(VLOOKUP(A223,'Contribution Allocation_Report'!$A$9:$D$310,4,FALSE)*$D$311,0)</f>
        <v>7335835</v>
      </c>
      <c r="E223" s="239">
        <f>ROUND(VLOOKUP(A223,'Contribution Allocation_Report'!$A$9:$D$310,4,FALSE)*$E$311,0)</f>
        <v>8491811</v>
      </c>
      <c r="F223" s="182"/>
    </row>
    <row r="224" spans="1:6">
      <c r="A224" s="220">
        <v>29305</v>
      </c>
      <c r="B224" s="221" t="s">
        <v>214</v>
      </c>
      <c r="C224" s="240">
        <f>ROUND(VLOOKUP(A224,'Contribution Allocation_Report'!$A$9:$D$310,4,FALSE)*$C$311,0)</f>
        <v>479811</v>
      </c>
      <c r="D224" s="240">
        <f>ROUND(VLOOKUP(A224,'Contribution Allocation_Report'!$A$9:$D$310,4,FALSE)*$D$311,0)</f>
        <v>596540</v>
      </c>
      <c r="E224" s="240">
        <f>ROUND(VLOOKUP(A224,'Contribution Allocation_Report'!$A$9:$D$310,4,FALSE)*$E$311,0)</f>
        <v>690543</v>
      </c>
      <c r="F224" s="182"/>
    </row>
    <row r="225" spans="1:6">
      <c r="A225" s="218">
        <v>10032</v>
      </c>
      <c r="B225" s="219" t="s">
        <v>215</v>
      </c>
      <c r="C225" s="239">
        <f>ROUND(VLOOKUP(A225,'Contribution Allocation_Report'!$A$9:$D$310,4,FALSE)*$C$311,0)</f>
        <v>678828</v>
      </c>
      <c r="D225" s="239">
        <f>ROUND(VLOOKUP(A225,'Contribution Allocation_Report'!$A$9:$D$310,4,FALSE)*$D$311,0)</f>
        <v>843975</v>
      </c>
      <c r="E225" s="239">
        <f>ROUND(VLOOKUP(A225,'Contribution Allocation_Report'!$A$9:$D$310,4,FALSE)*$E$311,0)</f>
        <v>976968</v>
      </c>
      <c r="F225" s="182"/>
    </row>
    <row r="226" spans="1:6">
      <c r="A226" s="220">
        <v>32107</v>
      </c>
      <c r="B226" s="221" t="s">
        <v>216</v>
      </c>
      <c r="C226" s="240">
        <f>ROUND(VLOOKUP(A226,'Contribution Allocation_Report'!$A$9:$D$310,4,FALSE)*$C$311,0)</f>
        <v>861171</v>
      </c>
      <c r="D226" s="240">
        <f>ROUND(VLOOKUP(A226,'Contribution Allocation_Report'!$A$9:$D$310,4,FALSE)*$D$311,0)</f>
        <v>1070680</v>
      </c>
      <c r="E226" s="240">
        <f>ROUND(VLOOKUP(A226,'Contribution Allocation_Report'!$A$9:$D$310,4,FALSE)*$E$311,0)</f>
        <v>1239397</v>
      </c>
      <c r="F226" s="182"/>
    </row>
    <row r="227" spans="1:6">
      <c r="A227" s="218">
        <v>3260</v>
      </c>
      <c r="B227" s="219" t="s">
        <v>217</v>
      </c>
      <c r="C227" s="239">
        <f>ROUND(VLOOKUP(A227,'Contribution Allocation_Report'!$A$9:$D$310,4,FALSE)*$C$311,0)</f>
        <v>16041767</v>
      </c>
      <c r="D227" s="239">
        <f>ROUND(VLOOKUP(A227,'Contribution Allocation_Report'!$A$9:$D$310,4,FALSE)*$D$311,0)</f>
        <v>19944455</v>
      </c>
      <c r="E227" s="239">
        <f>ROUND(VLOOKUP(A227,'Contribution Allocation_Report'!$A$9:$D$310,4,FALSE)*$E$311,0)</f>
        <v>23087291</v>
      </c>
      <c r="F227" s="182"/>
    </row>
    <row r="228" spans="1:6">
      <c r="A228" s="220">
        <v>4390</v>
      </c>
      <c r="B228" s="221" t="s">
        <v>218</v>
      </c>
      <c r="C228" s="240">
        <f>ROUND(VLOOKUP(A228,'Contribution Allocation_Report'!$A$9:$D$310,4,FALSE)*$C$311,0)</f>
        <v>163818</v>
      </c>
      <c r="D228" s="240">
        <f>ROUND(VLOOKUP(A228,'Contribution Allocation_Report'!$A$9:$D$310,4,FALSE)*$D$311,0)</f>
        <v>203673</v>
      </c>
      <c r="E228" s="240">
        <f>ROUND(VLOOKUP(A228,'Contribution Allocation_Report'!$A$9:$D$310,4,FALSE)*$E$311,0)</f>
        <v>235767</v>
      </c>
      <c r="F228" s="182"/>
    </row>
    <row r="229" spans="1:6">
      <c r="A229" s="218">
        <v>3270</v>
      </c>
      <c r="B229" s="219" t="s">
        <v>219</v>
      </c>
      <c r="C229" s="239">
        <f>ROUND(VLOOKUP(A229,'Contribution Allocation_Report'!$A$9:$D$310,4,FALSE)*$C$311,0)</f>
        <v>2294781</v>
      </c>
      <c r="D229" s="239">
        <f>ROUND(VLOOKUP(A229,'Contribution Allocation_Report'!$A$9:$D$310,4,FALSE)*$D$311,0)</f>
        <v>2853062</v>
      </c>
      <c r="E229" s="239">
        <f>ROUND(VLOOKUP(A229,'Contribution Allocation_Report'!$A$9:$D$310,4,FALSE)*$E$311,0)</f>
        <v>3302646</v>
      </c>
      <c r="F229" s="182"/>
    </row>
    <row r="230" spans="1:6">
      <c r="A230" s="220">
        <v>29303</v>
      </c>
      <c r="B230" s="221" t="s">
        <v>220</v>
      </c>
      <c r="C230" s="240">
        <f>ROUND(VLOOKUP(A230,'Contribution Allocation_Report'!$A$9:$D$310,4,FALSE)*$C$311,0)</f>
        <v>543062</v>
      </c>
      <c r="D230" s="240">
        <f>ROUND(VLOOKUP(A230,'Contribution Allocation_Report'!$A$9:$D$310,4,FALSE)*$D$311,0)</f>
        <v>675180</v>
      </c>
      <c r="E230" s="240">
        <f>ROUND(VLOOKUP(A230,'Contribution Allocation_Report'!$A$9:$D$310,4,FALSE)*$E$311,0)</f>
        <v>781574</v>
      </c>
      <c r="F230" s="182"/>
    </row>
    <row r="231" spans="1:6">
      <c r="A231" s="218">
        <v>3280</v>
      </c>
      <c r="B231" s="219" t="s">
        <v>221</v>
      </c>
      <c r="C231" s="239">
        <f>ROUND(VLOOKUP(A231,'Contribution Allocation_Report'!$A$9:$D$310,4,FALSE)*$C$311,0)</f>
        <v>11288916</v>
      </c>
      <c r="D231" s="239">
        <f>ROUND(VLOOKUP(A231,'Contribution Allocation_Report'!$A$9:$D$310,4,FALSE)*$D$311,0)</f>
        <v>14035316</v>
      </c>
      <c r="E231" s="239">
        <f>ROUND(VLOOKUP(A231,'Contribution Allocation_Report'!$A$9:$D$310,4,FALSE)*$E$311,0)</f>
        <v>16246993</v>
      </c>
      <c r="F231" s="182"/>
    </row>
    <row r="232" spans="1:6">
      <c r="A232" s="220">
        <v>4260</v>
      </c>
      <c r="B232" s="221" t="s">
        <v>222</v>
      </c>
      <c r="C232" s="240">
        <f>ROUND(VLOOKUP(A232,'Contribution Allocation_Report'!$A$9:$D$310,4,FALSE)*$C$311,0)</f>
        <v>828620</v>
      </c>
      <c r="D232" s="240">
        <f>ROUND(VLOOKUP(A232,'Contribution Allocation_Report'!$A$9:$D$310,4,FALSE)*$D$311,0)</f>
        <v>1030209</v>
      </c>
      <c r="E232" s="240">
        <f>ROUND(VLOOKUP(A232,'Contribution Allocation_Report'!$A$9:$D$310,4,FALSE)*$E$311,0)</f>
        <v>1192548</v>
      </c>
      <c r="F232" s="182"/>
    </row>
    <row r="233" spans="1:6">
      <c r="A233" s="218">
        <v>1003</v>
      </c>
      <c r="B233" s="219" t="s">
        <v>223</v>
      </c>
      <c r="C233" s="239">
        <f>ROUND(VLOOKUP(A233,'Contribution Allocation_Report'!$A$9:$D$310,4,FALSE)*$C$311,0)</f>
        <v>11574738</v>
      </c>
      <c r="D233" s="239">
        <f>ROUND(VLOOKUP(A233,'Contribution Allocation_Report'!$A$9:$D$310,4,FALSE)*$D$311,0)</f>
        <v>14390674</v>
      </c>
      <c r="E233" s="239">
        <f>ROUND(VLOOKUP(A233,'Contribution Allocation_Report'!$A$9:$D$310,4,FALSE)*$E$311,0)</f>
        <v>16658348</v>
      </c>
      <c r="F233" s="182"/>
    </row>
    <row r="234" spans="1:6">
      <c r="A234" s="220">
        <v>3290</v>
      </c>
      <c r="B234" s="221" t="s">
        <v>224</v>
      </c>
      <c r="C234" s="240">
        <f>ROUND(VLOOKUP(A234,'Contribution Allocation_Report'!$A$9:$D$310,4,FALSE)*$C$311,0)</f>
        <v>24637074</v>
      </c>
      <c r="D234" s="240">
        <f>ROUND(VLOOKUP(A234,'Contribution Allocation_Report'!$A$9:$D$310,4,FALSE)*$D$311,0)</f>
        <v>30630853</v>
      </c>
      <c r="E234" s="240">
        <f>ROUND(VLOOKUP(A234,'Contribution Allocation_Report'!$A$9:$D$310,4,FALSE)*$E$311,0)</f>
        <v>35457645</v>
      </c>
      <c r="F234" s="182"/>
    </row>
    <row r="235" spans="1:6">
      <c r="A235" s="218">
        <v>1002</v>
      </c>
      <c r="B235" s="219" t="s">
        <v>225</v>
      </c>
      <c r="C235" s="239">
        <f>ROUND(VLOOKUP(A235,'Contribution Allocation_Report'!$A$9:$D$310,4,FALSE)*$C$311,0)</f>
        <v>46126928</v>
      </c>
      <c r="D235" s="239">
        <f>ROUND(VLOOKUP(A235,'Contribution Allocation_Report'!$A$9:$D$310,4,FALSE)*$D$311,0)</f>
        <v>57348823</v>
      </c>
      <c r="E235" s="239">
        <f>ROUND(VLOOKUP(A235,'Contribution Allocation_Report'!$A$9:$D$310,4,FALSE)*$E$311,0)</f>
        <v>66385816</v>
      </c>
      <c r="F235" s="182"/>
    </row>
    <row r="236" spans="1:6">
      <c r="A236" s="220">
        <v>4270</v>
      </c>
      <c r="B236" s="221" t="s">
        <v>449</v>
      </c>
      <c r="C236" s="240">
        <f>ROUND(VLOOKUP(A236,'Contribution Allocation_Report'!$A$9:$D$310,4,FALSE)*$C$311,0)</f>
        <v>1001436</v>
      </c>
      <c r="D236" s="240">
        <f>ROUND(VLOOKUP(A236,'Contribution Allocation_Report'!$A$9:$D$310,4,FALSE)*$D$311,0)</f>
        <v>1245068</v>
      </c>
      <c r="E236" s="240">
        <f>ROUND(VLOOKUP(A236,'Contribution Allocation_Report'!$A$9:$D$310,4,FALSE)*$E$311,0)</f>
        <v>1441265</v>
      </c>
      <c r="F236" s="182"/>
    </row>
    <row r="237" spans="1:6">
      <c r="A237" s="218">
        <v>24072</v>
      </c>
      <c r="B237" s="219" t="s">
        <v>226</v>
      </c>
      <c r="C237" s="239">
        <f>ROUND(VLOOKUP(A237,'Contribution Allocation_Report'!$A$9:$D$310,4,FALSE)*$C$311,0)</f>
        <v>3274781</v>
      </c>
      <c r="D237" s="239">
        <f>ROUND(VLOOKUP(A237,'Contribution Allocation_Report'!$A$9:$D$310,4,FALSE)*$D$311,0)</f>
        <v>4071479</v>
      </c>
      <c r="E237" s="239">
        <f>ROUND(VLOOKUP(A237,'Contribution Allocation_Report'!$A$9:$D$310,4,FALSE)*$E$311,0)</f>
        <v>4713060</v>
      </c>
      <c r="F237" s="182"/>
    </row>
    <row r="238" spans="1:6">
      <c r="A238" s="220">
        <v>14366</v>
      </c>
      <c r="B238" s="221" t="s">
        <v>227</v>
      </c>
      <c r="C238" s="240">
        <f>ROUND(VLOOKUP(A238,'Contribution Allocation_Report'!$A$9:$D$310,4,FALSE)*$C$311,0)</f>
        <v>1492627</v>
      </c>
      <c r="D238" s="240">
        <f>ROUND(VLOOKUP(A238,'Contribution Allocation_Report'!$A$9:$D$310,4,FALSE)*$D$311,0)</f>
        <v>1855757</v>
      </c>
      <c r="E238" s="240">
        <f>ROUND(VLOOKUP(A238,'Contribution Allocation_Report'!$A$9:$D$310,4,FALSE)*$E$311,0)</f>
        <v>2148186</v>
      </c>
      <c r="F238" s="182"/>
    </row>
    <row r="239" spans="1:6">
      <c r="A239" s="218">
        <v>4317</v>
      </c>
      <c r="B239" s="219" t="s">
        <v>228</v>
      </c>
      <c r="C239" s="239">
        <f>ROUND(VLOOKUP(A239,'Contribution Allocation_Report'!$A$9:$D$310,4,FALSE)*$C$311,0)</f>
        <v>563969</v>
      </c>
      <c r="D239" s="239">
        <f>ROUND(VLOOKUP(A239,'Contribution Allocation_Report'!$A$9:$D$310,4,FALSE)*$D$311,0)</f>
        <v>701174</v>
      </c>
      <c r="E239" s="239">
        <f>ROUND(VLOOKUP(A239,'Contribution Allocation_Report'!$A$9:$D$310,4,FALSE)*$E$311,0)</f>
        <v>811664</v>
      </c>
      <c r="F239" s="182"/>
    </row>
    <row r="240" spans="1:6">
      <c r="A240" s="220">
        <v>32120</v>
      </c>
      <c r="B240" s="221" t="s">
        <v>229</v>
      </c>
      <c r="C240" s="240">
        <f>ROUND(VLOOKUP(A240,'Contribution Allocation_Report'!$A$9:$D$310,4,FALSE)*$C$311,0)</f>
        <v>659508</v>
      </c>
      <c r="D240" s="240">
        <f>ROUND(VLOOKUP(A240,'Contribution Allocation_Report'!$A$9:$D$310,4,FALSE)*$D$311,0)</f>
        <v>819955</v>
      </c>
      <c r="E240" s="240">
        <f>ROUND(VLOOKUP(A240,'Contribution Allocation_Report'!$A$9:$D$310,4,FALSE)*$E$311,0)</f>
        <v>949163</v>
      </c>
      <c r="F240" s="182"/>
    </row>
    <row r="241" spans="1:6">
      <c r="A241" s="218">
        <v>3300</v>
      </c>
      <c r="B241" s="219" t="s">
        <v>230</v>
      </c>
      <c r="C241" s="239">
        <f>ROUND(VLOOKUP(A241,'Contribution Allocation_Report'!$A$9:$D$310,4,FALSE)*$C$311,0)</f>
        <v>1594782</v>
      </c>
      <c r="D241" s="239">
        <f>ROUND(VLOOKUP(A241,'Contribution Allocation_Report'!$A$9:$D$310,4,FALSE)*$D$311,0)</f>
        <v>1982765</v>
      </c>
      <c r="E241" s="239">
        <f>ROUND(VLOOKUP(A241,'Contribution Allocation_Report'!$A$9:$D$310,4,FALSE)*$E$311,0)</f>
        <v>2295208</v>
      </c>
      <c r="F241" s="182"/>
    </row>
    <row r="242" spans="1:6">
      <c r="A242" s="220">
        <v>8026</v>
      </c>
      <c r="B242" s="221" t="s">
        <v>231</v>
      </c>
      <c r="C242" s="240">
        <f>ROUND(VLOOKUP(A242,'Contribution Allocation_Report'!$A$9:$D$310,4,FALSE)*$C$311,0)</f>
        <v>8983284</v>
      </c>
      <c r="D242" s="240">
        <f>ROUND(VLOOKUP(A242,'Contribution Allocation_Report'!$A$9:$D$310,4,FALSE)*$D$311,0)</f>
        <v>11168763</v>
      </c>
      <c r="E242" s="240">
        <f>ROUND(VLOOKUP(A242,'Contribution Allocation_Report'!$A$9:$D$310,4,FALSE)*$E$311,0)</f>
        <v>12928730</v>
      </c>
      <c r="F242" s="182"/>
    </row>
    <row r="243" spans="1:6">
      <c r="A243" s="218">
        <v>32119</v>
      </c>
      <c r="B243" s="219" t="s">
        <v>232</v>
      </c>
      <c r="C243" s="239">
        <f>ROUND(VLOOKUP(A243,'Contribution Allocation_Report'!$A$9:$D$310,4,FALSE)*$C$311,0)</f>
        <v>304348</v>
      </c>
      <c r="D243" s="239">
        <f>ROUND(VLOOKUP(A243,'Contribution Allocation_Report'!$A$9:$D$310,4,FALSE)*$D$311,0)</f>
        <v>378390</v>
      </c>
      <c r="E243" s="239">
        <f>ROUND(VLOOKUP(A243,'Contribution Allocation_Report'!$A$9:$D$310,4,FALSE)*$E$311,0)</f>
        <v>438017</v>
      </c>
      <c r="F243" s="182"/>
    </row>
    <row r="244" spans="1:6">
      <c r="A244" s="220">
        <v>25076</v>
      </c>
      <c r="B244" s="221" t="s">
        <v>233</v>
      </c>
      <c r="C244" s="240">
        <f>ROUND(VLOOKUP(A244,'Contribution Allocation_Report'!$A$9:$D$310,4,FALSE)*$C$311,0)</f>
        <v>5426915</v>
      </c>
      <c r="D244" s="240">
        <f>ROUND(VLOOKUP(A244,'Contribution Allocation_Report'!$A$9:$D$310,4,FALSE)*$D$311,0)</f>
        <v>6747191</v>
      </c>
      <c r="E244" s="240">
        <f>ROUND(VLOOKUP(A244,'Contribution Allocation_Report'!$A$9:$D$310,4,FALSE)*$E$311,0)</f>
        <v>7810410</v>
      </c>
      <c r="F244" s="182"/>
    </row>
    <row r="245" spans="1:6">
      <c r="A245" s="218">
        <v>2440</v>
      </c>
      <c r="B245" s="219" t="s">
        <v>414</v>
      </c>
      <c r="C245" s="239">
        <f>ROUND(VLOOKUP(A245,'Contribution Allocation_Report'!$A$9:$D$310,4,FALSE)*$C$311,0)</f>
        <v>530359</v>
      </c>
      <c r="D245" s="239">
        <f>ROUND(VLOOKUP(A245,'Contribution Allocation_Report'!$A$9:$D$310,4,FALSE)*$D$311,0)</f>
        <v>659386</v>
      </c>
      <c r="E245" s="239">
        <f>ROUND(VLOOKUP(A245,'Contribution Allocation_Report'!$A$9:$D$310,4,FALSE)*$E$311,0)</f>
        <v>763292</v>
      </c>
      <c r="F245" s="182"/>
    </row>
    <row r="246" spans="1:6">
      <c r="A246" s="220">
        <v>2309</v>
      </c>
      <c r="B246" s="221" t="s">
        <v>234</v>
      </c>
      <c r="C246" s="240">
        <f>ROUND(VLOOKUP(A246,'Contribution Allocation_Report'!$A$9:$D$310,4,FALSE)*$C$311,0)</f>
        <v>2313042</v>
      </c>
      <c r="D246" s="240">
        <f>ROUND(VLOOKUP(A246,'Contribution Allocation_Report'!$A$9:$D$310,4,FALSE)*$D$311,0)</f>
        <v>2875766</v>
      </c>
      <c r="E246" s="240">
        <f>ROUND(VLOOKUP(A246,'Contribution Allocation_Report'!$A$9:$D$310,4,FALSE)*$E$311,0)</f>
        <v>3328927</v>
      </c>
      <c r="F246" s="182"/>
    </row>
    <row r="247" spans="1:6">
      <c r="A247" s="218">
        <v>2396</v>
      </c>
      <c r="B247" s="219" t="s">
        <v>235</v>
      </c>
      <c r="C247" s="239">
        <f>ROUND(VLOOKUP(A247,'Contribution Allocation_Report'!$A$9:$D$310,4,FALSE)*$C$311,0)</f>
        <v>614253</v>
      </c>
      <c r="D247" s="239">
        <f>ROUND(VLOOKUP(A247,'Contribution Allocation_Report'!$A$9:$D$310,4,FALSE)*$D$311,0)</f>
        <v>763690</v>
      </c>
      <c r="E247" s="239">
        <f>ROUND(VLOOKUP(A247,'Contribution Allocation_Report'!$A$9:$D$310,4,FALSE)*$E$311,0)</f>
        <v>884032</v>
      </c>
      <c r="F247" s="182"/>
    </row>
    <row r="248" spans="1:6">
      <c r="A248" s="220">
        <v>3380</v>
      </c>
      <c r="B248" s="221" t="s">
        <v>236</v>
      </c>
      <c r="C248" s="240">
        <f>ROUND(VLOOKUP(A248,'Contribution Allocation_Report'!$A$9:$D$310,4,FALSE)*$C$311,0)</f>
        <v>495954</v>
      </c>
      <c r="D248" s="240">
        <f>ROUND(VLOOKUP(A248,'Contribution Allocation_Report'!$A$9:$D$310,4,FALSE)*$D$311,0)</f>
        <v>616612</v>
      </c>
      <c r="E248" s="240">
        <f>ROUND(VLOOKUP(A248,'Contribution Allocation_Report'!$A$9:$D$310,4,FALSE)*$E$311,0)</f>
        <v>713777</v>
      </c>
      <c r="F248" s="182"/>
    </row>
    <row r="249" spans="1:6">
      <c r="A249" s="218">
        <v>2420</v>
      </c>
      <c r="B249" s="219" t="s">
        <v>237</v>
      </c>
      <c r="C249" s="239">
        <f>ROUND(VLOOKUP(A249,'Contribution Allocation_Report'!$A$9:$D$310,4,FALSE)*$C$311,0)</f>
        <v>685179</v>
      </c>
      <c r="D249" s="239">
        <f>ROUND(VLOOKUP(A249,'Contribution Allocation_Report'!$A$9:$D$310,4,FALSE)*$D$311,0)</f>
        <v>851872</v>
      </c>
      <c r="E249" s="239">
        <f>ROUND(VLOOKUP(A249,'Contribution Allocation_Report'!$A$9:$D$310,4,FALSE)*$E$311,0)</f>
        <v>986109</v>
      </c>
      <c r="F249" s="182"/>
    </row>
    <row r="250" spans="1:6">
      <c r="A250" s="220">
        <v>2740</v>
      </c>
      <c r="B250" s="221" t="s">
        <v>238</v>
      </c>
      <c r="C250" s="240">
        <f>ROUND(VLOOKUP(A250,'Contribution Allocation_Report'!$A$9:$D$310,4,FALSE)*$C$311,0)</f>
        <v>113800</v>
      </c>
      <c r="D250" s="240">
        <f>ROUND(VLOOKUP(A250,'Contribution Allocation_Report'!$A$9:$D$310,4,FALSE)*$D$311,0)</f>
        <v>141485</v>
      </c>
      <c r="E250" s="240">
        <f>ROUND(VLOOKUP(A250,'Contribution Allocation_Report'!$A$9:$D$310,4,FALSE)*$E$311,0)</f>
        <v>163780</v>
      </c>
      <c r="F250" s="182"/>
    </row>
    <row r="251" spans="1:6">
      <c r="A251" s="218">
        <v>2346</v>
      </c>
      <c r="B251" s="219" t="s">
        <v>239</v>
      </c>
      <c r="C251" s="239">
        <f>ROUND(VLOOKUP(A251,'Contribution Allocation_Report'!$A$9:$D$310,4,FALSE)*$C$311,0)</f>
        <v>488279</v>
      </c>
      <c r="D251" s="239">
        <f>ROUND(VLOOKUP(A251,'Contribution Allocation_Report'!$A$9:$D$310,4,FALSE)*$D$311,0)</f>
        <v>607070</v>
      </c>
      <c r="E251" s="239">
        <f>ROUND(VLOOKUP(A251,'Contribution Allocation_Report'!$A$9:$D$310,4,FALSE)*$E$311,0)</f>
        <v>702731</v>
      </c>
      <c r="F251" s="182"/>
    </row>
    <row r="252" spans="1:6">
      <c r="A252" s="220">
        <v>21150</v>
      </c>
      <c r="B252" s="221" t="s">
        <v>240</v>
      </c>
      <c r="C252" s="240">
        <f>ROUND(VLOOKUP(A252,'Contribution Allocation_Report'!$A$9:$D$310,4,FALSE)*$C$311,0)</f>
        <v>1216332</v>
      </c>
      <c r="D252" s="240">
        <f>ROUND(VLOOKUP(A252,'Contribution Allocation_Report'!$A$9:$D$310,4,FALSE)*$D$311,0)</f>
        <v>1512245</v>
      </c>
      <c r="E252" s="240">
        <f>ROUND(VLOOKUP(A252,'Contribution Allocation_Report'!$A$9:$D$310,4,FALSE)*$E$311,0)</f>
        <v>1750543</v>
      </c>
      <c r="F252" s="182"/>
    </row>
    <row r="253" spans="1:6">
      <c r="A253" s="218">
        <v>32098</v>
      </c>
      <c r="B253" s="219" t="s">
        <v>241</v>
      </c>
      <c r="C253" s="239">
        <f>ROUND(VLOOKUP(A253,'Contribution Allocation_Report'!$A$9:$D$310,4,FALSE)*$C$311,0)</f>
        <v>601020</v>
      </c>
      <c r="D253" s="239">
        <f>ROUND(VLOOKUP(A253,'Contribution Allocation_Report'!$A$9:$D$310,4,FALSE)*$D$311,0)</f>
        <v>747238</v>
      </c>
      <c r="E253" s="239">
        <f>ROUND(VLOOKUP(A253,'Contribution Allocation_Report'!$A$9:$D$310,4,FALSE)*$E$311,0)</f>
        <v>864988</v>
      </c>
      <c r="F253" s="182"/>
    </row>
    <row r="254" spans="1:6">
      <c r="A254" s="220">
        <v>4520</v>
      </c>
      <c r="B254" s="221" t="s">
        <v>242</v>
      </c>
      <c r="C254" s="240">
        <f>ROUND(VLOOKUP(A254,'Contribution Allocation_Report'!$A$9:$D$310,4,FALSE)*$C$311,0)</f>
        <v>80983</v>
      </c>
      <c r="D254" s="240">
        <f>ROUND(VLOOKUP(A254,'Contribution Allocation_Report'!$A$9:$D$310,4,FALSE)*$D$311,0)</f>
        <v>100685</v>
      </c>
      <c r="E254" s="240">
        <f>ROUND(VLOOKUP(A254,'Contribution Allocation_Report'!$A$9:$D$310,4,FALSE)*$E$311,0)</f>
        <v>116551</v>
      </c>
      <c r="F254" s="182"/>
    </row>
    <row r="255" spans="1:6">
      <c r="A255" s="218">
        <v>9030</v>
      </c>
      <c r="B255" s="219" t="s">
        <v>243</v>
      </c>
      <c r="C255" s="239">
        <f>ROUND(VLOOKUP(A255,'Contribution Allocation_Report'!$A$9:$D$310,4,FALSE)*$C$311,0)</f>
        <v>776483</v>
      </c>
      <c r="D255" s="239">
        <f>ROUND(VLOOKUP(A255,'Contribution Allocation_Report'!$A$9:$D$310,4,FALSE)*$D$311,0)</f>
        <v>965389</v>
      </c>
      <c r="E255" s="239">
        <f>ROUND(VLOOKUP(A255,'Contribution Allocation_Report'!$A$9:$D$310,4,FALSE)*$E$311,0)</f>
        <v>1117514</v>
      </c>
      <c r="F255" s="182"/>
    </row>
    <row r="256" spans="1:6">
      <c r="A256" s="220">
        <v>20265</v>
      </c>
      <c r="B256" s="221" t="s">
        <v>244</v>
      </c>
      <c r="C256" s="240">
        <f>ROUND(VLOOKUP(A256,'Contribution Allocation_Report'!$A$9:$D$310,4,FALSE)*$C$311,0)</f>
        <v>730434</v>
      </c>
      <c r="D256" s="240">
        <f>ROUND(VLOOKUP(A256,'Contribution Allocation_Report'!$A$9:$D$310,4,FALSE)*$D$311,0)</f>
        <v>908137</v>
      </c>
      <c r="E256" s="240">
        <f>ROUND(VLOOKUP(A256,'Contribution Allocation_Report'!$A$9:$D$310,4,FALSE)*$E$311,0)</f>
        <v>1051240</v>
      </c>
      <c r="F256" s="182"/>
    </row>
    <row r="257" spans="1:6">
      <c r="A257" s="218">
        <v>20307</v>
      </c>
      <c r="B257" s="219" t="s">
        <v>245</v>
      </c>
      <c r="C257" s="239">
        <f>ROUND(VLOOKUP(A257,'Contribution Allocation_Report'!$A$9:$D$310,4,FALSE)*$C$311,0)</f>
        <v>714555</v>
      </c>
      <c r="D257" s="239">
        <f>ROUND(VLOOKUP(A257,'Contribution Allocation_Report'!$A$9:$D$310,4,FALSE)*$D$311,0)</f>
        <v>888394</v>
      </c>
      <c r="E257" s="239">
        <f>ROUND(VLOOKUP(A257,'Contribution Allocation_Report'!$A$9:$D$310,4,FALSE)*$E$311,0)</f>
        <v>1028387</v>
      </c>
      <c r="F257" s="182"/>
    </row>
    <row r="258" spans="1:6">
      <c r="A258" s="220">
        <v>3320</v>
      </c>
      <c r="B258" s="221" t="s">
        <v>246</v>
      </c>
      <c r="C258" s="240">
        <f>ROUND(VLOOKUP(A258,'Contribution Allocation_Report'!$A$9:$D$310,4,FALSE)*$C$311,0)</f>
        <v>5302530</v>
      </c>
      <c r="D258" s="240">
        <f>ROUND(VLOOKUP(A258,'Contribution Allocation_Report'!$A$9:$D$310,4,FALSE)*$D$311,0)</f>
        <v>6592545</v>
      </c>
      <c r="E258" s="240">
        <f>ROUND(VLOOKUP(A258,'Contribution Allocation_Report'!$A$9:$D$310,4,FALSE)*$E$311,0)</f>
        <v>7631394</v>
      </c>
      <c r="F258" s="182"/>
    </row>
    <row r="259" spans="1:6">
      <c r="A259" s="218">
        <v>20415</v>
      </c>
      <c r="B259" s="219" t="s">
        <v>247</v>
      </c>
      <c r="C259" s="239">
        <f>ROUND(VLOOKUP(A259,'Contribution Allocation_Report'!$A$9:$D$310,4,FALSE)*$C$311,0)</f>
        <v>494631</v>
      </c>
      <c r="D259" s="239">
        <f>ROUND(VLOOKUP(A259,'Contribution Allocation_Report'!$A$9:$D$310,4,FALSE)*$D$311,0)</f>
        <v>614966</v>
      </c>
      <c r="E259" s="239">
        <f>ROUND(VLOOKUP(A259,'Contribution Allocation_Report'!$A$9:$D$310,4,FALSE)*$E$311,0)</f>
        <v>711872</v>
      </c>
      <c r="F259" s="182"/>
    </row>
    <row r="260" spans="1:6">
      <c r="A260" s="220">
        <v>20435</v>
      </c>
      <c r="B260" s="221" t="s">
        <v>441</v>
      </c>
      <c r="C260" s="240">
        <f>ROUND(VLOOKUP(A260,'Contribution Allocation_Report'!$A$9:$D$310,4,FALSE)*$C$311,0)</f>
        <v>604461</v>
      </c>
      <c r="D260" s="240">
        <f>ROUND(VLOOKUP(A260,'Contribution Allocation_Report'!$A$9:$D$310,4,FALSE)*$D$311,0)</f>
        <v>751516</v>
      </c>
      <c r="E260" s="240">
        <f>ROUND(VLOOKUP(A260,'Contribution Allocation_Report'!$A$9:$D$310,4,FALSE)*$E$311,0)</f>
        <v>869939</v>
      </c>
      <c r="F260" s="182"/>
    </row>
    <row r="261" spans="1:6">
      <c r="A261" s="218">
        <v>20062</v>
      </c>
      <c r="B261" s="219" t="s">
        <v>248</v>
      </c>
      <c r="C261" s="239">
        <f>ROUND(VLOOKUP(A261,'Contribution Allocation_Report'!$A$9:$D$310,4,FALSE)*$C$311,0)</f>
        <v>8301545</v>
      </c>
      <c r="D261" s="239">
        <f>ROUND(VLOOKUP(A261,'Contribution Allocation_Report'!$A$9:$D$310,4,FALSE)*$D$311,0)</f>
        <v>10321169</v>
      </c>
      <c r="E261" s="239">
        <f>ROUND(VLOOKUP(A261,'Contribution Allocation_Report'!$A$9:$D$310,4,FALSE)*$E$311,0)</f>
        <v>11947573</v>
      </c>
      <c r="F261" s="182"/>
    </row>
    <row r="262" spans="1:6">
      <c r="A262" s="220">
        <v>6020</v>
      </c>
      <c r="B262" s="221" t="s">
        <v>249</v>
      </c>
      <c r="C262" s="240">
        <f>ROUND(VLOOKUP(A262,'Contribution Allocation_Report'!$A$9:$D$310,4,FALSE)*$C$311,0)</f>
        <v>1571492</v>
      </c>
      <c r="D262" s="240">
        <f>ROUND(VLOOKUP(A262,'Contribution Allocation_Report'!$A$9:$D$310,4,FALSE)*$D$311,0)</f>
        <v>1953810</v>
      </c>
      <c r="E262" s="240">
        <f>ROUND(VLOOKUP(A262,'Contribution Allocation_Report'!$A$9:$D$310,4,FALSE)*$E$311,0)</f>
        <v>2261690</v>
      </c>
      <c r="F262" s="182"/>
    </row>
    <row r="263" spans="1:6">
      <c r="A263" s="218">
        <v>2394</v>
      </c>
      <c r="B263" s="219" t="s">
        <v>250</v>
      </c>
      <c r="C263" s="239">
        <f>ROUND(VLOOKUP(A263,'Contribution Allocation_Report'!$A$9:$D$310,4,FALSE)*$C$311,0)</f>
        <v>823327</v>
      </c>
      <c r="D263" s="239">
        <f>ROUND(VLOOKUP(A263,'Contribution Allocation_Report'!$A$9:$D$310,4,FALSE)*$D$311,0)</f>
        <v>1023628</v>
      </c>
      <c r="E263" s="239">
        <f>ROUND(VLOOKUP(A263,'Contribution Allocation_Report'!$A$9:$D$310,4,FALSE)*$E$311,0)</f>
        <v>1184930</v>
      </c>
      <c r="F263" s="182"/>
    </row>
    <row r="264" spans="1:6">
      <c r="A264" s="220">
        <v>5015</v>
      </c>
      <c r="B264" s="221" t="s">
        <v>251</v>
      </c>
      <c r="C264" s="240">
        <f>ROUND(VLOOKUP(A264,'Contribution Allocation_Report'!$A$9:$D$310,4,FALSE)*$C$311,0)</f>
        <v>2235764</v>
      </c>
      <c r="D264" s="240">
        <f>ROUND(VLOOKUP(A264,'Contribution Allocation_Report'!$A$9:$D$310,4,FALSE)*$D$311,0)</f>
        <v>2779688</v>
      </c>
      <c r="E264" s="240">
        <f>ROUND(VLOOKUP(A264,'Contribution Allocation_Report'!$A$9:$D$310,4,FALSE)*$E$311,0)</f>
        <v>3217709</v>
      </c>
      <c r="F264" s="182"/>
    </row>
    <row r="265" spans="1:6">
      <c r="A265" s="218">
        <v>29408</v>
      </c>
      <c r="B265" s="219" t="s">
        <v>252</v>
      </c>
      <c r="C265" s="239">
        <f>ROUND(VLOOKUP(A265,'Contribution Allocation_Report'!$A$9:$D$310,4,FALSE)*$C$311,0)</f>
        <v>1488128</v>
      </c>
      <c r="D265" s="239">
        <f>ROUND(VLOOKUP(A265,'Contribution Allocation_Report'!$A$9:$D$310,4,FALSE)*$D$311,0)</f>
        <v>1850164</v>
      </c>
      <c r="E265" s="239">
        <f>ROUND(VLOOKUP(A265,'Contribution Allocation_Report'!$A$9:$D$310,4,FALSE)*$E$311,0)</f>
        <v>2141711</v>
      </c>
      <c r="F265" s="182"/>
    </row>
    <row r="266" spans="1:6">
      <c r="A266" s="220">
        <v>2413</v>
      </c>
      <c r="B266" s="221" t="s">
        <v>253</v>
      </c>
      <c r="C266" s="240">
        <f>ROUND(VLOOKUP(A266,'Contribution Allocation_Report'!$A$9:$D$310,4,FALSE)*$C$311,0)</f>
        <v>382949</v>
      </c>
      <c r="D266" s="240">
        <f>ROUND(VLOOKUP(A266,'Contribution Allocation_Report'!$A$9:$D$310,4,FALSE)*$D$311,0)</f>
        <v>476114</v>
      </c>
      <c r="E266" s="240">
        <f>ROUND(VLOOKUP(A266,'Contribution Allocation_Report'!$A$9:$D$310,4,FALSE)*$E$311,0)</f>
        <v>551139</v>
      </c>
      <c r="F266" s="182"/>
    </row>
    <row r="267" spans="1:6">
      <c r="A267" s="218">
        <v>1398</v>
      </c>
      <c r="B267" s="219" t="s">
        <v>254</v>
      </c>
      <c r="C267" s="239">
        <f>ROUND(VLOOKUP(A267,'Contribution Allocation_Report'!$A$9:$D$310,4,FALSE)*$C$311,0)</f>
        <v>689943</v>
      </c>
      <c r="D267" s="239">
        <f>ROUND(VLOOKUP(A267,'Contribution Allocation_Report'!$A$9:$D$310,4,FALSE)*$D$311,0)</f>
        <v>857794</v>
      </c>
      <c r="E267" s="239">
        <f>ROUND(VLOOKUP(A267,'Contribution Allocation_Report'!$A$9:$D$310,4,FALSE)*$E$311,0)</f>
        <v>992965</v>
      </c>
      <c r="F267" s="182"/>
    </row>
    <row r="268" spans="1:6">
      <c r="A268" s="220">
        <v>2366</v>
      </c>
      <c r="B268" s="221" t="s">
        <v>255</v>
      </c>
      <c r="C268" s="240">
        <f>ROUND(VLOOKUP(A268,'Contribution Allocation_Report'!$A$9:$D$310,4,FALSE)*$C$311,0)</f>
        <v>726200</v>
      </c>
      <c r="D268" s="240">
        <f>ROUND(VLOOKUP(A268,'Contribution Allocation_Report'!$A$9:$D$310,4,FALSE)*$D$311,0)</f>
        <v>902872</v>
      </c>
      <c r="E268" s="240">
        <f>ROUND(VLOOKUP(A268,'Contribution Allocation_Report'!$A$9:$D$310,4,FALSE)*$E$311,0)</f>
        <v>1045146</v>
      </c>
      <c r="F268" s="182"/>
    </row>
    <row r="269" spans="1:6">
      <c r="A269" s="218">
        <v>7421</v>
      </c>
      <c r="B269" s="219" t="s">
        <v>256</v>
      </c>
      <c r="C269" s="239">
        <f>ROUND(VLOOKUP(A269,'Contribution Allocation_Report'!$A$9:$D$310,4,FALSE)*$C$311,0)</f>
        <v>560264</v>
      </c>
      <c r="D269" s="239">
        <f>ROUND(VLOOKUP(A269,'Contribution Allocation_Report'!$A$9:$D$310,4,FALSE)*$D$311,0)</f>
        <v>696567</v>
      </c>
      <c r="E269" s="239">
        <f>ROUND(VLOOKUP(A269,'Contribution Allocation_Report'!$A$9:$D$310,4,FALSE)*$E$311,0)</f>
        <v>806332</v>
      </c>
      <c r="F269" s="182"/>
    </row>
    <row r="270" spans="1:6">
      <c r="A270" s="220">
        <v>2370</v>
      </c>
      <c r="B270" s="221" t="s">
        <v>257</v>
      </c>
      <c r="C270" s="240">
        <f>ROUND(VLOOKUP(A270,'Contribution Allocation_Report'!$A$9:$D$310,4,FALSE)*$C$311,0)</f>
        <v>1062306</v>
      </c>
      <c r="D270" s="240">
        <f>ROUND(VLOOKUP(A270,'Contribution Allocation_Report'!$A$9:$D$310,4,FALSE)*$D$311,0)</f>
        <v>1320746</v>
      </c>
      <c r="E270" s="240">
        <f>ROUND(VLOOKUP(A270,'Contribution Allocation_Report'!$A$9:$D$310,4,FALSE)*$E$311,0)</f>
        <v>1528869</v>
      </c>
      <c r="F270" s="182"/>
    </row>
    <row r="271" spans="1:6">
      <c r="A271" s="218">
        <v>32094</v>
      </c>
      <c r="B271" s="219" t="s">
        <v>258</v>
      </c>
      <c r="C271" s="239">
        <f>ROUND(VLOOKUP(A271,'Contribution Allocation_Report'!$A$9:$D$310,4,FALSE)*$C$311,0)</f>
        <v>1082684</v>
      </c>
      <c r="D271" s="239">
        <f>ROUND(VLOOKUP(A271,'Contribution Allocation_Report'!$A$9:$D$310,4,FALSE)*$D$311,0)</f>
        <v>1346082</v>
      </c>
      <c r="E271" s="239">
        <f>ROUND(VLOOKUP(A271,'Contribution Allocation_Report'!$A$9:$D$310,4,FALSE)*$E$311,0)</f>
        <v>1558197</v>
      </c>
      <c r="F271" s="182"/>
    </row>
    <row r="272" spans="1:6">
      <c r="A272" s="220">
        <v>2790</v>
      </c>
      <c r="B272" s="221" t="s">
        <v>259</v>
      </c>
      <c r="C272" s="240">
        <f>ROUND(VLOOKUP(A272,'Contribution Allocation_Report'!$A$9:$D$310,4,FALSE)*$C$311,0)</f>
        <v>119887</v>
      </c>
      <c r="D272" s="240">
        <f>ROUND(VLOOKUP(A272,'Contribution Allocation_Report'!$A$9:$D$310,4,FALSE)*$D$311,0)</f>
        <v>149053</v>
      </c>
      <c r="E272" s="240">
        <f>ROUND(VLOOKUP(A272,'Contribution Allocation_Report'!$A$9:$D$310,4,FALSE)*$E$311,0)</f>
        <v>172541</v>
      </c>
      <c r="F272" s="182"/>
    </row>
    <row r="273" spans="1:6">
      <c r="A273" s="218">
        <v>3330</v>
      </c>
      <c r="B273" s="219" t="s">
        <v>260</v>
      </c>
      <c r="C273" s="239">
        <f>ROUND(VLOOKUP(A273,'Contribution Allocation_Report'!$A$9:$D$310,4,FALSE)*$C$311,0)</f>
        <v>2402229</v>
      </c>
      <c r="D273" s="239">
        <f>ROUND(VLOOKUP(A273,'Contribution Allocation_Report'!$A$9:$D$310,4,FALSE)*$D$311,0)</f>
        <v>2986651</v>
      </c>
      <c r="E273" s="239">
        <f>ROUND(VLOOKUP(A273,'Contribution Allocation_Report'!$A$9:$D$310,4,FALSE)*$E$311,0)</f>
        <v>3457285</v>
      </c>
      <c r="F273" s="182"/>
    </row>
    <row r="274" spans="1:6">
      <c r="A274" s="220">
        <v>2080</v>
      </c>
      <c r="B274" s="221" t="s">
        <v>261</v>
      </c>
      <c r="C274" s="240">
        <f>ROUND(VLOOKUP(A274,'Contribution Allocation_Report'!$A$9:$D$310,4,FALSE)*$C$311,0)</f>
        <v>2740981</v>
      </c>
      <c r="D274" s="240">
        <f>ROUND(VLOOKUP(A274,'Contribution Allocation_Report'!$A$9:$D$310,4,FALSE)*$D$311,0)</f>
        <v>3407815</v>
      </c>
      <c r="E274" s="240">
        <f>ROUND(VLOOKUP(A274,'Contribution Allocation_Report'!$A$9:$D$310,4,FALSE)*$E$311,0)</f>
        <v>3944817</v>
      </c>
      <c r="F274" s="182"/>
    </row>
    <row r="275" spans="1:6">
      <c r="A275" s="218">
        <v>4290</v>
      </c>
      <c r="B275" s="219" t="s">
        <v>262</v>
      </c>
      <c r="C275" s="239">
        <f>ROUND(VLOOKUP(A275,'Contribution Allocation_Report'!$A$9:$D$310,4,FALSE)*$C$311,0)</f>
        <v>902192</v>
      </c>
      <c r="D275" s="239">
        <f>ROUND(VLOOKUP(A275,'Contribution Allocation_Report'!$A$9:$D$310,4,FALSE)*$D$311,0)</f>
        <v>1121680</v>
      </c>
      <c r="E275" s="239">
        <f>ROUND(VLOOKUP(A275,'Contribution Allocation_Report'!$A$9:$D$310,4,FALSE)*$E$311,0)</f>
        <v>1298434</v>
      </c>
      <c r="F275" s="182"/>
    </row>
    <row r="276" spans="1:6">
      <c r="A276" s="220">
        <v>2270</v>
      </c>
      <c r="B276" s="221" t="s">
        <v>263</v>
      </c>
      <c r="C276" s="240">
        <f>ROUND(VLOOKUP(A276,'Contribution Allocation_Report'!$A$9:$D$310,4,FALSE)*$C$311,0)</f>
        <v>51342</v>
      </c>
      <c r="D276" s="240">
        <f>ROUND(VLOOKUP(A276,'Contribution Allocation_Report'!$A$9:$D$310,4,FALSE)*$D$311,0)</f>
        <v>63833</v>
      </c>
      <c r="E276" s="240">
        <f>ROUND(VLOOKUP(A276,'Contribution Allocation_Report'!$A$9:$D$310,4,FALSE)*$E$311,0)</f>
        <v>73892</v>
      </c>
      <c r="F276" s="182"/>
    </row>
    <row r="277" spans="1:6">
      <c r="A277" s="218">
        <v>2300</v>
      </c>
      <c r="B277" s="219" t="s">
        <v>264</v>
      </c>
      <c r="C277" s="239">
        <f>ROUND(VLOOKUP(A277,'Contribution Allocation_Report'!$A$9:$D$310,4,FALSE)*$C$311,0)</f>
        <v>242155</v>
      </c>
      <c r="D277" s="239">
        <f>ROUND(VLOOKUP(A277,'Contribution Allocation_Report'!$A$9:$D$310,4,FALSE)*$D$311,0)</f>
        <v>301067</v>
      </c>
      <c r="E277" s="239">
        <f>ROUND(VLOOKUP(A277,'Contribution Allocation_Report'!$A$9:$D$310,4,FALSE)*$E$311,0)</f>
        <v>348509</v>
      </c>
      <c r="F277" s="182"/>
    </row>
    <row r="278" spans="1:6">
      <c r="A278" s="220">
        <v>2720</v>
      </c>
      <c r="B278" s="221" t="s">
        <v>265</v>
      </c>
      <c r="C278" s="240">
        <f>ROUND(VLOOKUP(A278,'Contribution Allocation_Report'!$A$9:$D$310,4,FALSE)*$C$311,0)</f>
        <v>3569601</v>
      </c>
      <c r="D278" s="240">
        <f>ROUND(VLOOKUP(A278,'Contribution Allocation_Report'!$A$9:$D$310,4,FALSE)*$D$311,0)</f>
        <v>4438024</v>
      </c>
      <c r="E278" s="240">
        <f>ROUND(VLOOKUP(A278,'Contribution Allocation_Report'!$A$9:$D$310,4,FALSE)*$E$311,0)</f>
        <v>5137365</v>
      </c>
      <c r="F278" s="182"/>
    </row>
    <row r="279" spans="1:6">
      <c r="A279" s="218">
        <v>2750</v>
      </c>
      <c r="B279" s="219" t="s">
        <v>266</v>
      </c>
      <c r="C279" s="239">
        <f>ROUND(VLOOKUP(A279,'Contribution Allocation_Report'!$A$9:$D$310,4,FALSE)*$C$311,0)</f>
        <v>234745</v>
      </c>
      <c r="D279" s="239">
        <f>ROUND(VLOOKUP(A279,'Contribution Allocation_Report'!$A$9:$D$310,4,FALSE)*$D$311,0)</f>
        <v>291854</v>
      </c>
      <c r="E279" s="239">
        <f>ROUND(VLOOKUP(A279,'Contribution Allocation_Report'!$A$9:$D$310,4,FALSE)*$E$311,0)</f>
        <v>337844</v>
      </c>
      <c r="F279" s="182"/>
    </row>
    <row r="280" spans="1:6">
      <c r="A280" s="220">
        <v>2770</v>
      </c>
      <c r="B280" s="221" t="s">
        <v>267</v>
      </c>
      <c r="C280" s="240">
        <f>ROUND(VLOOKUP(A280,'Contribution Allocation_Report'!$A$9:$D$310,4,FALSE)*$C$311,0)</f>
        <v>2746804</v>
      </c>
      <c r="D280" s="240">
        <f>ROUND(VLOOKUP(A280,'Contribution Allocation_Report'!$A$9:$D$310,4,FALSE)*$D$311,0)</f>
        <v>3415054</v>
      </c>
      <c r="E280" s="240">
        <f>ROUND(VLOOKUP(A280,'Contribution Allocation_Report'!$A$9:$D$310,4,FALSE)*$E$311,0)</f>
        <v>3953196</v>
      </c>
      <c r="F280" s="182"/>
    </row>
    <row r="281" spans="1:6">
      <c r="A281" s="218">
        <v>32106</v>
      </c>
      <c r="B281" s="219" t="s">
        <v>268</v>
      </c>
      <c r="C281" s="239">
        <f>ROUND(VLOOKUP(A281,'Contribution Allocation_Report'!$A$9:$D$310,4,FALSE)*$C$311,0)</f>
        <v>424499</v>
      </c>
      <c r="D281" s="239">
        <f>ROUND(VLOOKUP(A281,'Contribution Allocation_Report'!$A$9:$D$310,4,FALSE)*$D$311,0)</f>
        <v>527772</v>
      </c>
      <c r="E281" s="239">
        <f>ROUND(VLOOKUP(A281,'Contribution Allocation_Report'!$A$9:$D$310,4,FALSE)*$E$311,0)</f>
        <v>610938</v>
      </c>
      <c r="F281" s="182"/>
    </row>
    <row r="282" spans="1:6">
      <c r="A282" s="220">
        <v>4180</v>
      </c>
      <c r="B282" s="221" t="s">
        <v>269</v>
      </c>
      <c r="C282" s="240">
        <f>ROUND(VLOOKUP(A282,'Contribution Allocation_Report'!$A$9:$D$310,4,FALSE)*$C$311,0)</f>
        <v>417089</v>
      </c>
      <c r="D282" s="240">
        <f>ROUND(VLOOKUP(A282,'Contribution Allocation_Report'!$A$9:$D$310,4,FALSE)*$D$311,0)</f>
        <v>518559</v>
      </c>
      <c r="E282" s="240">
        <f>ROUND(VLOOKUP(A282,'Contribution Allocation_Report'!$A$9:$D$310,4,FALSE)*$E$311,0)</f>
        <v>600273</v>
      </c>
      <c r="F282" s="182"/>
    </row>
    <row r="283" spans="1:6">
      <c r="A283" s="218">
        <v>21063</v>
      </c>
      <c r="B283" s="219" t="s">
        <v>270</v>
      </c>
      <c r="C283" s="239">
        <f>ROUND(VLOOKUP(A283,'Contribution Allocation_Report'!$A$9:$D$310,4,FALSE)*$C$311,0)</f>
        <v>4951074</v>
      </c>
      <c r="D283" s="239">
        <f>ROUND(VLOOKUP(A283,'Contribution Allocation_Report'!$A$9:$D$310,4,FALSE)*$D$311,0)</f>
        <v>6155586</v>
      </c>
      <c r="E283" s="239">
        <f>ROUND(VLOOKUP(A283,'Contribution Allocation_Report'!$A$9:$D$310,4,FALSE)*$E$311,0)</f>
        <v>7125580</v>
      </c>
      <c r="F283" s="182"/>
    </row>
    <row r="284" spans="1:6">
      <c r="A284" s="220">
        <v>10033</v>
      </c>
      <c r="B284" s="221" t="s">
        <v>271</v>
      </c>
      <c r="C284" s="240">
        <f>ROUND(VLOOKUP(A284,'Contribution Allocation_Report'!$A$9:$D$310,4,FALSE)*$C$311,0)</f>
        <v>3507937</v>
      </c>
      <c r="D284" s="240">
        <f>ROUND(VLOOKUP(A284,'Contribution Allocation_Report'!$A$9:$D$310,4,FALSE)*$D$311,0)</f>
        <v>4361359</v>
      </c>
      <c r="E284" s="240">
        <f>ROUND(VLOOKUP(A284,'Contribution Allocation_Report'!$A$9:$D$310,4,FALSE)*$E$311,0)</f>
        <v>5048619</v>
      </c>
      <c r="F284" s="182"/>
    </row>
    <row r="285" spans="1:6">
      <c r="A285" s="218">
        <v>15049</v>
      </c>
      <c r="B285" s="219" t="s">
        <v>272</v>
      </c>
      <c r="C285" s="239">
        <f>ROUND(VLOOKUP(A285,'Contribution Allocation_Report'!$A$9:$D$310,4,FALSE)*$C$311,0)</f>
        <v>3500263</v>
      </c>
      <c r="D285" s="239">
        <f>ROUND(VLOOKUP(A285,'Contribution Allocation_Report'!$A$9:$D$310,4,FALSE)*$D$311,0)</f>
        <v>4351817</v>
      </c>
      <c r="E285" s="239">
        <f>ROUND(VLOOKUP(A285,'Contribution Allocation_Report'!$A$9:$D$310,4,FALSE)*$E$311,0)</f>
        <v>5037573</v>
      </c>
      <c r="F285" s="182"/>
    </row>
    <row r="286" spans="1:6">
      <c r="A286" s="220">
        <v>1315</v>
      </c>
      <c r="B286" s="221" t="s">
        <v>273</v>
      </c>
      <c r="C286" s="240">
        <f>ROUND(VLOOKUP(A286,'Contribution Allocation_Report'!$A$9:$D$310,4,FALSE)*$C$311,0)</f>
        <v>2026691</v>
      </c>
      <c r="D286" s="240">
        <f>ROUND(VLOOKUP(A286,'Contribution Allocation_Report'!$A$9:$D$310,4,FALSE)*$D$311,0)</f>
        <v>2519750</v>
      </c>
      <c r="E286" s="240">
        <f>ROUND(VLOOKUP(A286,'Contribution Allocation_Report'!$A$9:$D$310,4,FALSE)*$E$311,0)</f>
        <v>2916811</v>
      </c>
      <c r="F286" s="182"/>
    </row>
    <row r="287" spans="1:6">
      <c r="A287" s="218">
        <v>3340</v>
      </c>
      <c r="B287" s="219" t="s">
        <v>274</v>
      </c>
      <c r="C287" s="239">
        <f>ROUND(VLOOKUP(A287,'Contribution Allocation_Report'!$A$9:$D$310,4,FALSE)*$C$311,0)</f>
        <v>905368</v>
      </c>
      <c r="D287" s="239">
        <f>ROUND(VLOOKUP(A287,'Contribution Allocation_Report'!$A$9:$D$310,4,FALSE)*$D$311,0)</f>
        <v>1125629</v>
      </c>
      <c r="E287" s="239">
        <f>ROUND(VLOOKUP(A287,'Contribution Allocation_Report'!$A$9:$D$310,4,FALSE)*$E$311,0)</f>
        <v>1303005</v>
      </c>
      <c r="F287" s="182"/>
    </row>
    <row r="288" spans="1:6">
      <c r="A288" s="220">
        <v>3350</v>
      </c>
      <c r="B288" s="249" t="s">
        <v>275</v>
      </c>
      <c r="C288" s="272">
        <f>ROUND(VLOOKUP(A288,'Contribution Allocation_Report'!$A$9:$D$310,4,FALSE)*$C$311,0)</f>
        <v>4505404</v>
      </c>
      <c r="D288" s="272">
        <f>ROUND(VLOOKUP(A288,'Contribution Allocation_Report'!$A$9:$D$310,4,FALSE)*$D$311,0)</f>
        <v>5601491</v>
      </c>
      <c r="E288" s="272">
        <f>ROUND(VLOOKUP(A288,'Contribution Allocation_Report'!$A$9:$D$310,4,FALSE)*$E$311,0)</f>
        <v>6484171</v>
      </c>
      <c r="F288" s="182"/>
    </row>
    <row r="289" spans="1:6">
      <c r="A289" s="218">
        <v>24073</v>
      </c>
      <c r="B289" s="219" t="s">
        <v>276</v>
      </c>
      <c r="C289" s="239">
        <f>ROUND(VLOOKUP(A289,'Contribution Allocation_Report'!$A$9:$D$310,4,FALSE)*$C$311,0)</f>
        <v>630397</v>
      </c>
      <c r="D289" s="239">
        <f>ROUND(VLOOKUP(A289,'Contribution Allocation_Report'!$A$9:$D$310,4,FALSE)*$D$311,0)</f>
        <v>783761</v>
      </c>
      <c r="E289" s="239">
        <f>ROUND(VLOOKUP(A289,'Contribution Allocation_Report'!$A$9:$D$310,4,FALSE)*$E$311,0)</f>
        <v>907266</v>
      </c>
      <c r="F289" s="182"/>
    </row>
    <row r="290" spans="1:6">
      <c r="A290" s="220">
        <v>2100</v>
      </c>
      <c r="B290" s="221" t="s">
        <v>277</v>
      </c>
      <c r="C290" s="240">
        <f>ROUND(VLOOKUP(A290,'Contribution Allocation_Report'!$A$9:$D$310,4,FALSE)*$C$311,0)</f>
        <v>764574</v>
      </c>
      <c r="D290" s="240">
        <f>ROUND(VLOOKUP(A290,'Contribution Allocation_Report'!$A$9:$D$310,4,FALSE)*$D$311,0)</f>
        <v>950582</v>
      </c>
      <c r="E290" s="240">
        <f>ROUND(VLOOKUP(A290,'Contribution Allocation_Report'!$A$9:$D$310,4,FALSE)*$E$311,0)</f>
        <v>1100374</v>
      </c>
      <c r="F290" s="182"/>
    </row>
    <row r="291" spans="1:6">
      <c r="A291" s="218">
        <v>2130</v>
      </c>
      <c r="B291" s="219" t="s">
        <v>278</v>
      </c>
      <c r="C291" s="239">
        <f>ROUND(VLOOKUP(A291,'Contribution Allocation_Report'!$A$9:$D$310,4,FALSE)*$C$311,0)</f>
        <v>251153</v>
      </c>
      <c r="D291" s="239">
        <f>ROUND(VLOOKUP(A291,'Contribution Allocation_Report'!$A$9:$D$310,4,FALSE)*$D$311,0)</f>
        <v>312254</v>
      </c>
      <c r="E291" s="239">
        <f>ROUND(VLOOKUP(A291,'Contribution Allocation_Report'!$A$9:$D$310,4,FALSE)*$E$311,0)</f>
        <v>361459</v>
      </c>
      <c r="F291" s="182"/>
    </row>
    <row r="292" spans="1:6">
      <c r="A292" s="220">
        <v>32099</v>
      </c>
      <c r="B292" s="221" t="s">
        <v>279</v>
      </c>
      <c r="C292" s="240">
        <f>ROUND(VLOOKUP(A292,'Contribution Allocation_Report'!$A$9:$D$310,4,FALSE)*$C$311,0)</f>
        <v>251947</v>
      </c>
      <c r="D292" s="240">
        <f>ROUND(VLOOKUP(A292,'Contribution Allocation_Report'!$A$9:$D$310,4,FALSE)*$D$311,0)</f>
        <v>313241</v>
      </c>
      <c r="E292" s="240">
        <f>ROUND(VLOOKUP(A292,'Contribution Allocation_Report'!$A$9:$D$310,4,FALSE)*$E$311,0)</f>
        <v>362602</v>
      </c>
      <c r="F292" s="182"/>
    </row>
    <row r="293" spans="1:6">
      <c r="A293" s="218">
        <v>32100</v>
      </c>
      <c r="B293" s="219" t="s">
        <v>280</v>
      </c>
      <c r="C293" s="239">
        <f>ROUND(VLOOKUP(A293,'Contribution Allocation_Report'!$A$9:$D$310,4,FALSE)*$C$311,0)</f>
        <v>558412</v>
      </c>
      <c r="D293" s="239">
        <f>ROUND(VLOOKUP(A293,'Contribution Allocation_Report'!$A$9:$D$310,4,FALSE)*$D$311,0)</f>
        <v>694264</v>
      </c>
      <c r="E293" s="239">
        <f>ROUND(VLOOKUP(A293,'Contribution Allocation_Report'!$A$9:$D$310,4,FALSE)*$E$311,0)</f>
        <v>803665</v>
      </c>
      <c r="F293" s="182"/>
    </row>
    <row r="294" spans="1:6">
      <c r="A294" s="220">
        <v>32101</v>
      </c>
      <c r="B294" s="221" t="s">
        <v>281</v>
      </c>
      <c r="C294" s="240">
        <f>ROUND(VLOOKUP(A294,'Contribution Allocation_Report'!$A$9:$D$310,4,FALSE)*$C$311,0)</f>
        <v>27524</v>
      </c>
      <c r="D294" s="240">
        <f>ROUND(VLOOKUP(A294,'Contribution Allocation_Report'!$A$9:$D$310,4,FALSE)*$D$311,0)</f>
        <v>34220</v>
      </c>
      <c r="E294" s="240">
        <f>ROUND(VLOOKUP(A294,'Contribution Allocation_Report'!$A$9:$D$310,4,FALSE)*$E$311,0)</f>
        <v>39612</v>
      </c>
      <c r="F294" s="182"/>
    </row>
    <row r="295" spans="1:6">
      <c r="A295" s="218">
        <v>32102</v>
      </c>
      <c r="B295" s="219" t="s">
        <v>282</v>
      </c>
      <c r="C295" s="239">
        <f>ROUND(VLOOKUP(A295,'Contribution Allocation_Report'!$A$9:$D$310,4,FALSE)*$C$311,0)</f>
        <v>332401</v>
      </c>
      <c r="D295" s="239">
        <f>ROUND(VLOOKUP(A295,'Contribution Allocation_Report'!$A$9:$D$310,4,FALSE)*$D$311,0)</f>
        <v>413268</v>
      </c>
      <c r="E295" s="239">
        <f>ROUND(VLOOKUP(A295,'Contribution Allocation_Report'!$A$9:$D$310,4,FALSE)*$E$311,0)</f>
        <v>478390</v>
      </c>
      <c r="F295" s="182"/>
    </row>
    <row r="296" spans="1:6">
      <c r="A296" s="220">
        <v>2880</v>
      </c>
      <c r="B296" s="221" t="s">
        <v>283</v>
      </c>
      <c r="C296" s="240">
        <f>ROUND(VLOOKUP(A296,'Contribution Allocation_Report'!$A$9:$D$310,4,FALSE)*$C$311,0)</f>
        <v>112476</v>
      </c>
      <c r="D296" s="240">
        <f>ROUND(VLOOKUP(A296,'Contribution Allocation_Report'!$A$9:$D$310,4,FALSE)*$D$311,0)</f>
        <v>139840</v>
      </c>
      <c r="E296" s="240">
        <f>ROUND(VLOOKUP(A296,'Contribution Allocation_Report'!$A$9:$D$310,4,FALSE)*$E$311,0)</f>
        <v>161876</v>
      </c>
      <c r="F296" s="182"/>
    </row>
    <row r="297" spans="1:6">
      <c r="A297" s="218">
        <v>2490</v>
      </c>
      <c r="B297" s="219" t="s">
        <v>284</v>
      </c>
      <c r="C297" s="239">
        <f>ROUND(VLOOKUP(A297,'Contribution Allocation_Report'!$A$9:$D$310,4,FALSE)*$C$311,0)</f>
        <v>747901</v>
      </c>
      <c r="D297" s="239">
        <f>ROUND(VLOOKUP(A297,'Contribution Allocation_Report'!$A$9:$D$310,4,FALSE)*$D$311,0)</f>
        <v>929853</v>
      </c>
      <c r="E297" s="239">
        <f>ROUND(VLOOKUP(A297,'Contribution Allocation_Report'!$A$9:$D$310,4,FALSE)*$E$311,0)</f>
        <v>1076379</v>
      </c>
      <c r="F297" s="182"/>
    </row>
    <row r="298" spans="1:6">
      <c r="A298" s="220">
        <v>2530</v>
      </c>
      <c r="B298" s="221" t="s">
        <v>285</v>
      </c>
      <c r="C298" s="240">
        <f>ROUND(VLOOKUP(A298,'Contribution Allocation_Report'!$A$9:$D$310,4,FALSE)*$C$311,0)</f>
        <v>80718</v>
      </c>
      <c r="D298" s="240">
        <f>ROUND(VLOOKUP(A298,'Contribution Allocation_Report'!$A$9:$D$310,4,FALSE)*$D$311,0)</f>
        <v>100356</v>
      </c>
      <c r="E298" s="240">
        <f>ROUND(VLOOKUP(A298,'Contribution Allocation_Report'!$A$9:$D$310,4,FALSE)*$E$311,0)</f>
        <v>116170</v>
      </c>
      <c r="F298" s="182"/>
    </row>
    <row r="299" spans="1:6">
      <c r="A299" s="218">
        <v>2560</v>
      </c>
      <c r="B299" s="219" t="s">
        <v>286</v>
      </c>
      <c r="C299" s="239">
        <f>ROUND(VLOOKUP(A299,'Contribution Allocation_Report'!$A$9:$D$310,4,FALSE)*$C$311,0)</f>
        <v>239508</v>
      </c>
      <c r="D299" s="239">
        <f>ROUND(VLOOKUP(A299,'Contribution Allocation_Report'!$A$9:$D$310,4,FALSE)*$D$311,0)</f>
        <v>297777</v>
      </c>
      <c r="E299" s="239">
        <f>ROUND(VLOOKUP(A299,'Contribution Allocation_Report'!$A$9:$D$310,4,FALSE)*$E$311,0)</f>
        <v>344700</v>
      </c>
      <c r="F299" s="182"/>
    </row>
    <row r="300" spans="1:6">
      <c r="A300" s="220">
        <v>2610</v>
      </c>
      <c r="B300" s="221" t="s">
        <v>287</v>
      </c>
      <c r="C300" s="240">
        <f>ROUND(VLOOKUP(A300,'Contribution Allocation_Report'!$A$9:$D$310,4,FALSE)*$C$311,0)</f>
        <v>91834</v>
      </c>
      <c r="D300" s="240">
        <f>ROUND(VLOOKUP(A300,'Contribution Allocation_Report'!$A$9:$D$310,4,FALSE)*$D$311,0)</f>
        <v>114175</v>
      </c>
      <c r="E300" s="240">
        <f>ROUND(VLOOKUP(A300,'Contribution Allocation_Report'!$A$9:$D$310,4,FALSE)*$E$311,0)</f>
        <v>132167</v>
      </c>
      <c r="F300" s="182"/>
    </row>
    <row r="301" spans="1:6">
      <c r="A301" s="218">
        <v>2800</v>
      </c>
      <c r="B301" s="219" t="s">
        <v>288</v>
      </c>
      <c r="C301" s="239">
        <f>ROUND(VLOOKUP(A301,'Contribution Allocation_Report'!$A$9:$D$310,4,FALSE)*$C$311,0)</f>
        <v>232363</v>
      </c>
      <c r="D301" s="239">
        <f>ROUND(VLOOKUP(A301,'Contribution Allocation_Report'!$A$9:$D$310,4,FALSE)*$D$311,0)</f>
        <v>288893</v>
      </c>
      <c r="E301" s="239">
        <f>ROUND(VLOOKUP(A301,'Contribution Allocation_Report'!$A$9:$D$310,4,FALSE)*$E$311,0)</f>
        <v>334416</v>
      </c>
      <c r="F301" s="182"/>
    </row>
    <row r="302" spans="1:6">
      <c r="A302" s="220">
        <v>20317</v>
      </c>
      <c r="B302" s="221" t="s">
        <v>289</v>
      </c>
      <c r="C302" s="240">
        <f>ROUND(VLOOKUP(A302,'Contribution Allocation_Report'!$A$9:$D$310,4,FALSE)*$C$311,0)</f>
        <v>385331</v>
      </c>
      <c r="D302" s="240">
        <f>ROUND(VLOOKUP(A302,'Contribution Allocation_Report'!$A$9:$D$310,4,FALSE)*$D$311,0)</f>
        <v>479075</v>
      </c>
      <c r="E302" s="240">
        <f>ROUND(VLOOKUP(A302,'Contribution Allocation_Report'!$A$9:$D$310,4,FALSE)*$E$311,0)</f>
        <v>554567</v>
      </c>
      <c r="F302" s="182"/>
    </row>
    <row r="303" spans="1:6">
      <c r="A303" s="218">
        <v>2442</v>
      </c>
      <c r="B303" s="219" t="s">
        <v>451</v>
      </c>
      <c r="C303" s="239">
        <f>ROUND(VLOOKUP(A303,'Contribution Allocation_Report'!$A$9:$D$310,4,FALSE)*$C$311,0)</f>
        <v>44197</v>
      </c>
      <c r="D303" s="239">
        <f>ROUND(VLOOKUP(A303,'Contribution Allocation_Report'!$A$9:$D$310,4,FALSE)*$D$311,0)</f>
        <v>54949</v>
      </c>
      <c r="E303" s="239">
        <f>ROUND(VLOOKUP(A303,'Contribution Allocation_Report'!$A$9:$D$310,4,FALSE)*$E$311,0)</f>
        <v>63608</v>
      </c>
      <c r="F303" s="182"/>
    </row>
    <row r="304" spans="1:6">
      <c r="A304" s="220">
        <v>30090</v>
      </c>
      <c r="B304" s="221" t="s">
        <v>290</v>
      </c>
      <c r="C304" s="240">
        <f>ROUND(VLOOKUP(A304,'Contribution Allocation_Report'!$A$9:$D$310,4,FALSE)*$C$311,0)</f>
        <v>850056</v>
      </c>
      <c r="D304" s="240">
        <f>ROUND(VLOOKUP(A304,'Contribution Allocation_Report'!$A$9:$D$310,4,FALSE)*$D$311,0)</f>
        <v>1056860</v>
      </c>
      <c r="E304" s="240">
        <f>ROUND(VLOOKUP(A304,'Contribution Allocation_Report'!$A$9:$D$310,4,FALSE)*$E$311,0)</f>
        <v>1223400</v>
      </c>
      <c r="F304" s="182"/>
    </row>
    <row r="305" spans="1:6">
      <c r="A305" s="218">
        <v>29330</v>
      </c>
      <c r="B305" s="219" t="s">
        <v>291</v>
      </c>
      <c r="C305" s="239">
        <f>ROUND(VLOOKUP(A305,'Contribution Allocation_Report'!$A$9:$D$310,4,FALSE)*$C$311,0)</f>
        <v>302230</v>
      </c>
      <c r="D305" s="239">
        <f>ROUND(VLOOKUP(A305,'Contribution Allocation_Report'!$A$9:$D$310,4,FALSE)*$D$311,0)</f>
        <v>375758</v>
      </c>
      <c r="E305" s="239">
        <f>ROUND(VLOOKUP(A305,'Contribution Allocation_Report'!$A$9:$D$310,4,FALSE)*$E$311,0)</f>
        <v>434970</v>
      </c>
      <c r="F305" s="182"/>
    </row>
    <row r="306" spans="1:6">
      <c r="A306" s="220">
        <v>12038</v>
      </c>
      <c r="B306" s="221" t="s">
        <v>292</v>
      </c>
      <c r="C306" s="240">
        <f>ROUND(VLOOKUP(A306,'Contribution Allocation_Report'!$A$9:$D$310,4,FALSE)*$C$311,0)</f>
        <v>6592435</v>
      </c>
      <c r="D306" s="240">
        <f>ROUND(VLOOKUP(A306,'Contribution Allocation_Report'!$A$9:$D$310,4,FALSE)*$D$311,0)</f>
        <v>8196261</v>
      </c>
      <c r="E306" s="240">
        <f>ROUND(VLOOKUP(A306,'Contribution Allocation_Report'!$A$9:$D$310,4,FALSE)*$E$311,0)</f>
        <v>9487823</v>
      </c>
      <c r="F306" s="182"/>
    </row>
    <row r="307" spans="1:6">
      <c r="A307" s="218">
        <v>8099</v>
      </c>
      <c r="B307" s="219" t="s">
        <v>293</v>
      </c>
      <c r="C307" s="239">
        <f>ROUND(VLOOKUP(A307,'Contribution Allocation_Report'!$A$9:$D$310,4,FALSE)*$C$311,0)</f>
        <v>10353642</v>
      </c>
      <c r="D307" s="239">
        <f>ROUND(VLOOKUP(A307,'Contribution Allocation_Report'!$A$9:$D$310,4,FALSE)*$D$311,0)</f>
        <v>12872506</v>
      </c>
      <c r="E307" s="239">
        <f>ROUND(VLOOKUP(A307,'Contribution Allocation_Report'!$A$9:$D$310,4,FALSE)*$E$311,0)</f>
        <v>14900948</v>
      </c>
      <c r="F307" s="182"/>
    </row>
    <row r="308" spans="1:6">
      <c r="A308" s="220">
        <v>2417</v>
      </c>
      <c r="B308" s="221" t="s">
        <v>294</v>
      </c>
      <c r="C308" s="240">
        <f>ROUND(VLOOKUP(A308,'Contribution Allocation_Report'!$A$9:$D$310,4,FALSE)*$C$311,0)</f>
        <v>222041</v>
      </c>
      <c r="D308" s="240">
        <f>ROUND(VLOOKUP(A308,'Contribution Allocation_Report'!$A$9:$D$310,4,FALSE)*$D$311,0)</f>
        <v>276060</v>
      </c>
      <c r="E308" s="240">
        <f>ROUND(VLOOKUP(A308,'Contribution Allocation_Report'!$A$9:$D$310,4,FALSE)*$E$311,0)</f>
        <v>319562</v>
      </c>
      <c r="F308" s="182"/>
    </row>
    <row r="309" spans="1:6">
      <c r="A309" s="218">
        <v>13142</v>
      </c>
      <c r="B309" s="219" t="s">
        <v>295</v>
      </c>
      <c r="C309" s="213">
        <f>ROUND(VLOOKUP(A309,'Contribution Allocation_Report'!$A$9:$D$310,4,FALSE)*$C$311,0)</f>
        <v>6161055</v>
      </c>
      <c r="D309" s="213">
        <f>ROUND(VLOOKUP(A309,'Contribution Allocation_Report'!$A$9:$D$310,4,FALSE)*$D$311,0)</f>
        <v>7659934</v>
      </c>
      <c r="E309" s="213">
        <f>ROUND(VLOOKUP(A309,'Contribution Allocation_Report'!$A$9:$D$310,4,FALSE)*$E$311,0)</f>
        <v>8866982</v>
      </c>
      <c r="F309" s="182"/>
    </row>
    <row r="310" spans="1:6">
      <c r="A310" s="34"/>
      <c r="B310" s="34"/>
      <c r="C310" s="35"/>
      <c r="D310" s="35"/>
      <c r="E310" s="35"/>
      <c r="F310" s="182"/>
    </row>
    <row r="311" spans="1:6" s="215" customFormat="1" ht="15.75" thickBot="1">
      <c r="A311" s="241"/>
      <c r="B311" s="241"/>
      <c r="C311" s="406">
        <v>2646501227</v>
      </c>
      <c r="D311" s="406">
        <v>3290349790</v>
      </c>
      <c r="E311" s="406">
        <v>3808841141</v>
      </c>
      <c r="F311" s="217"/>
    </row>
    <row r="312" spans="1:6" s="215" customFormat="1" ht="15.75" thickTop="1">
      <c r="A312" s="241"/>
      <c r="B312" s="241"/>
      <c r="C312" s="35"/>
      <c r="D312" s="35"/>
      <c r="E312" s="35"/>
      <c r="F312" s="217"/>
    </row>
    <row r="313" spans="1:6">
      <c r="A313" s="34"/>
      <c r="B313" s="34"/>
      <c r="C313" s="37"/>
      <c r="D313" s="37"/>
      <c r="E313" s="37"/>
      <c r="F313" s="182"/>
    </row>
    <row r="314" spans="1:6">
      <c r="C314" s="75">
        <f>+SUM(C8:C309)-C311</f>
        <v>0</v>
      </c>
      <c r="D314" s="258">
        <f>+SUM(D8:D309)-D311</f>
        <v>0</v>
      </c>
      <c r="E314" s="258">
        <f>+SUM(E8:E309)-E311</f>
        <v>0</v>
      </c>
    </row>
  </sheetData>
  <mergeCells count="3">
    <mergeCell ref="A1:E1"/>
    <mergeCell ref="A2:E2"/>
    <mergeCell ref="A3:E3"/>
  </mergeCells>
  <pageMargins left="0.7" right="0.7" top="0.5" bottom="0.5" header="0.5" footer="0.5"/>
  <pageSetup scale="54" firstPageNumber="33" fitToHeight="0" orientation="portrait" useFirstPageNumber="1" r:id="rId1"/>
  <headerFooter differentOddEven="1" scaleWithDoc="0">
    <oddFooter>&amp;R&amp;"Arial,Regular"&amp;10&amp;P</oddFooter>
    <evenFooter>&amp;R&amp;"Arial,Regular"&amp;10&amp;P</evenFooter>
  </headerFooter>
  <rowBreaks count="4" manualBreakCount="4">
    <brk id="77" max="4" man="1"/>
    <brk id="147" max="4" man="1"/>
    <brk id="217" max="4" man="1"/>
    <brk id="287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D327"/>
  <sheetViews>
    <sheetView view="pageBreakPreview" zoomScale="90" zoomScaleNormal="100" zoomScaleSheetLayoutView="90" workbookViewId="0">
      <pane ySplit="5" topLeftCell="A284" activePane="bottomLeft" state="frozen"/>
      <selection activeCell="A10" sqref="A10:G10"/>
      <selection pane="bottomLeft" activeCell="A10" sqref="A10:G10"/>
    </sheetView>
  </sheetViews>
  <sheetFormatPr defaultColWidth="9.28515625" defaultRowHeight="12.75"/>
  <cols>
    <col min="1" max="1" width="12.28515625" style="142" customWidth="1"/>
    <col min="2" max="2" width="64.42578125" style="142" bestFit="1" customWidth="1"/>
    <col min="3" max="8" width="12.85546875" style="216" customWidth="1"/>
    <col min="9" max="13" width="10.7109375" style="142" customWidth="1"/>
    <col min="14" max="14" width="10.7109375" style="207" customWidth="1"/>
    <col min="15" max="18" width="11.28515625" style="142" bestFit="1" customWidth="1"/>
    <col min="19" max="19" width="9.28515625" style="142"/>
    <col min="20" max="22" width="11" style="142" bestFit="1" customWidth="1"/>
    <col min="23" max="23" width="9.28515625" style="142"/>
    <col min="24" max="24" width="10.85546875" style="142" bestFit="1" customWidth="1"/>
    <col min="25" max="25" width="9.28515625" style="142"/>
    <col min="26" max="26" width="14.28515625" style="142" customWidth="1"/>
    <col min="27" max="27" width="13.7109375" style="142" bestFit="1" customWidth="1"/>
    <col min="28" max="28" width="9.28515625" style="142"/>
    <col min="29" max="29" width="14.7109375" style="142" customWidth="1"/>
    <col min="30" max="16384" width="9.28515625" style="142"/>
  </cols>
  <sheetData>
    <row r="1" spans="1:30">
      <c r="A1" s="142">
        <v>1</v>
      </c>
      <c r="B1" s="142">
        <v>2</v>
      </c>
      <c r="C1" s="216">
        <v>3</v>
      </c>
      <c r="D1" s="216">
        <v>4</v>
      </c>
      <c r="E1" s="216">
        <v>5</v>
      </c>
      <c r="F1" s="216">
        <v>6</v>
      </c>
      <c r="G1" s="216">
        <v>7</v>
      </c>
      <c r="H1" s="216">
        <v>8</v>
      </c>
      <c r="I1" s="216">
        <v>9</v>
      </c>
      <c r="J1" s="216">
        <v>10</v>
      </c>
      <c r="K1" s="216">
        <v>11</v>
      </c>
      <c r="L1" s="216">
        <v>12</v>
      </c>
      <c r="M1" s="216">
        <v>13</v>
      </c>
      <c r="N1" s="216">
        <v>14</v>
      </c>
      <c r="O1" s="216">
        <v>15</v>
      </c>
      <c r="P1" s="216">
        <v>16</v>
      </c>
      <c r="Q1" s="216">
        <v>17</v>
      </c>
      <c r="R1" s="216">
        <v>18</v>
      </c>
      <c r="S1" s="216">
        <v>19</v>
      </c>
      <c r="T1" s="216">
        <v>20</v>
      </c>
      <c r="U1" s="216">
        <v>21</v>
      </c>
      <c r="V1" s="216">
        <v>22</v>
      </c>
    </row>
    <row r="2" spans="1:30">
      <c r="C2" s="413" t="s">
        <v>470</v>
      </c>
      <c r="D2" s="413"/>
      <c r="E2" s="413"/>
      <c r="F2" s="413"/>
      <c r="G2" s="413"/>
      <c r="H2" s="207"/>
      <c r="I2" s="413" t="s">
        <v>432</v>
      </c>
      <c r="J2" s="413"/>
      <c r="K2" s="413"/>
      <c r="L2" s="413"/>
      <c r="M2" s="413"/>
      <c r="O2" s="413"/>
      <c r="P2" s="413"/>
      <c r="Q2" s="413"/>
      <c r="R2" s="413"/>
      <c r="T2" s="413"/>
      <c r="U2" s="413"/>
      <c r="V2" s="413"/>
    </row>
    <row r="3" spans="1:30">
      <c r="C3" s="413" t="s">
        <v>316</v>
      </c>
      <c r="D3" s="413"/>
      <c r="E3" s="413"/>
      <c r="F3" s="413"/>
      <c r="G3" s="413"/>
      <c r="H3" s="207"/>
      <c r="I3" s="413" t="s">
        <v>316</v>
      </c>
      <c r="J3" s="413"/>
      <c r="K3" s="413"/>
      <c r="L3" s="413"/>
      <c r="M3" s="413"/>
      <c r="O3" s="413"/>
      <c r="P3" s="413"/>
      <c r="Q3" s="413"/>
      <c r="R3" s="413"/>
      <c r="T3" s="413"/>
      <c r="U3" s="413"/>
      <c r="V3" s="413"/>
      <c r="X3" s="152" t="s">
        <v>468</v>
      </c>
      <c r="Z3" s="414" t="s">
        <v>469</v>
      </c>
      <c r="AA3" s="414"/>
    </row>
    <row r="4" spans="1:30" s="216" customFormat="1">
      <c r="C4" s="301" t="s">
        <v>435</v>
      </c>
      <c r="E4" s="301"/>
      <c r="F4" s="301"/>
      <c r="G4" s="301"/>
      <c r="H4" s="207"/>
      <c r="I4" s="301" t="s">
        <v>434</v>
      </c>
      <c r="J4" s="301" t="s">
        <v>435</v>
      </c>
      <c r="K4" s="301"/>
      <c r="L4" s="301"/>
      <c r="M4" s="301"/>
      <c r="N4" s="207"/>
      <c r="O4" s="287" t="s">
        <v>434</v>
      </c>
      <c r="P4" s="301" t="s">
        <v>435</v>
      </c>
      <c r="Q4" s="301"/>
      <c r="R4" s="301"/>
      <c r="T4" s="301" t="s">
        <v>434</v>
      </c>
      <c r="U4" s="301" t="s">
        <v>435</v>
      </c>
      <c r="V4" s="301"/>
      <c r="X4" s="279"/>
      <c r="Z4" s="288"/>
      <c r="AA4" s="288"/>
    </row>
    <row r="5" spans="1:30" ht="25.5">
      <c r="A5" s="55" t="s">
        <v>0</v>
      </c>
      <c r="B5" s="56" t="s">
        <v>1</v>
      </c>
      <c r="C5" s="306">
        <v>2023</v>
      </c>
      <c r="D5" s="306">
        <v>2024</v>
      </c>
      <c r="E5" s="306">
        <v>2025</v>
      </c>
      <c r="F5" s="306">
        <v>2026</v>
      </c>
      <c r="G5" s="306">
        <v>2027</v>
      </c>
      <c r="H5" s="253"/>
      <c r="I5" s="177">
        <v>2022</v>
      </c>
      <c r="J5" s="177">
        <v>2023</v>
      </c>
      <c r="K5" s="177">
        <v>2024</v>
      </c>
      <c r="L5" s="177">
        <v>2025</v>
      </c>
      <c r="M5" s="177">
        <v>2026</v>
      </c>
      <c r="N5" s="56"/>
      <c r="O5" s="177">
        <v>2022</v>
      </c>
      <c r="P5" s="177">
        <v>2023</v>
      </c>
      <c r="Q5" s="177">
        <v>2024</v>
      </c>
      <c r="R5" s="177">
        <v>2025</v>
      </c>
      <c r="T5" s="177">
        <v>2022</v>
      </c>
      <c r="U5" s="177">
        <v>2023</v>
      </c>
      <c r="V5" s="177">
        <v>2024</v>
      </c>
      <c r="X5" s="142">
        <v>2022</v>
      </c>
      <c r="Z5" s="142" t="s">
        <v>372</v>
      </c>
      <c r="AA5" s="142" t="s">
        <v>371</v>
      </c>
    </row>
    <row r="6" spans="1:30">
      <c r="A6" s="22"/>
      <c r="B6" s="23"/>
      <c r="C6" s="228"/>
      <c r="D6" s="228"/>
      <c r="E6" s="228"/>
      <c r="F6" s="228"/>
      <c r="G6" s="228"/>
      <c r="H6" s="228"/>
      <c r="N6" s="23"/>
    </row>
    <row r="7" spans="1:30">
      <c r="A7" s="22"/>
      <c r="B7" s="23"/>
      <c r="C7" s="228"/>
      <c r="D7" s="228"/>
      <c r="E7" s="228"/>
      <c r="F7" s="228"/>
      <c r="G7" s="228"/>
      <c r="H7" s="228"/>
      <c r="N7" s="23"/>
    </row>
    <row r="8" spans="1:30">
      <c r="A8" s="62">
        <v>1341</v>
      </c>
      <c r="B8" s="63" t="s">
        <v>5</v>
      </c>
      <c r="C8" s="90">
        <f>VLOOKUP(A8,'Change in Proportion Calc'!$A$5:$P$316,12,FALSE)</f>
        <v>775058</v>
      </c>
      <c r="D8" s="90">
        <f>VLOOKUP(A8,'Change in Proportion Calc'!$A$5:$P$316,13,FALSE)</f>
        <v>775058</v>
      </c>
      <c r="E8" s="90">
        <f>VLOOKUP(A8,'Change in Proportion Calc'!$A$5:$P$316,13,FALSE)</f>
        <v>775058</v>
      </c>
      <c r="F8" s="90">
        <f>VLOOKUP(A8,'Change in Proportion Calc'!$A$5:$P$316,13,FALSE)</f>
        <v>775058</v>
      </c>
      <c r="G8" s="90">
        <f>VLOOKUP(A8,'Change in Proportion Calc'!$A$5:$P$316,16,FALSE)</f>
        <v>759603</v>
      </c>
      <c r="H8" s="255"/>
      <c r="I8" s="197">
        <v>-1730430</v>
      </c>
      <c r="J8" s="197">
        <v>-1730430</v>
      </c>
      <c r="K8" s="197">
        <v>-1730430</v>
      </c>
      <c r="L8" s="197">
        <v>-1730430</v>
      </c>
      <c r="M8" s="155">
        <v>-1695839</v>
      </c>
      <c r="N8" s="65"/>
      <c r="O8" s="154">
        <v>956425</v>
      </c>
      <c r="P8" s="154">
        <v>956425</v>
      </c>
      <c r="Q8" s="154">
        <v>956425</v>
      </c>
      <c r="R8" s="155">
        <v>612065</v>
      </c>
      <c r="T8" s="197">
        <v>78375</v>
      </c>
      <c r="U8" s="197">
        <v>78375</v>
      </c>
      <c r="V8" s="197">
        <v>56402</v>
      </c>
      <c r="X8" s="155">
        <f>VLOOKUP(A8,'Change in Proportion Calc'!$A$5:$H$316,8,FALSE)+I8+O8+T8</f>
        <v>79442</v>
      </c>
      <c r="Z8" s="154">
        <f>IF(SUM(C8:G8)&gt;0,SUM(C8:G8),0)+IF(SUM(J8:M8)&gt;0,SUM(J8:M8),0)+IF(SUM(P8:R8)&gt;0,SUM(P8:R8),0)+IF(SUM(U8:V8)&gt;0,SUM(U8:V8),0)</f>
        <v>6519527</v>
      </c>
      <c r="AA8" s="154">
        <f>IF(SUM(C8:G8)&lt;0,-SUM(C8:G8),0)+IF(SUM(J8:M8)&lt;0,-SUM(J8:M8),0)+IF(SUM(P8:R8)&lt;0,-SUM(P8:R8),0)+IF(SUM(U8:V8)&lt;0,-SUM(U8:V8),0)</f>
        <v>6887129</v>
      </c>
      <c r="AC8" s="280">
        <f>VLOOKUP(A8,'OPEB Amounts_Report'!$A$10:$F$321,6,FALSE)</f>
        <v>6519527</v>
      </c>
      <c r="AD8" s="281">
        <f>+Z8-AC8</f>
        <v>0</v>
      </c>
    </row>
    <row r="9" spans="1:30">
      <c r="A9" s="64">
        <v>2308</v>
      </c>
      <c r="B9" s="65" t="s">
        <v>6</v>
      </c>
      <c r="C9" s="90">
        <f>VLOOKUP(A9,'Change in Proportion Calc'!$A$5:$P$316,12,FALSE)</f>
        <v>60256</v>
      </c>
      <c r="D9" s="90">
        <f>VLOOKUP(A9,'Change in Proportion Calc'!$A$5:$P$316,13,FALSE)</f>
        <v>60256</v>
      </c>
      <c r="E9" s="90">
        <f>VLOOKUP(A9,'Change in Proportion Calc'!$A$5:$P$316,13,FALSE)</f>
        <v>60256</v>
      </c>
      <c r="F9" s="90">
        <f>VLOOKUP(A9,'Change in Proportion Calc'!$A$5:$P$316,13,FALSE)</f>
        <v>60256</v>
      </c>
      <c r="G9" s="90">
        <f>VLOOKUP(A9,'Change in Proportion Calc'!$A$5:$P$316,16,FALSE)</f>
        <v>59052</v>
      </c>
      <c r="H9" s="255"/>
      <c r="I9" s="280">
        <v>-5496</v>
      </c>
      <c r="J9" s="280">
        <v>-5496</v>
      </c>
      <c r="K9" s="280">
        <v>-5496</v>
      </c>
      <c r="L9" s="280">
        <v>-5496</v>
      </c>
      <c r="M9" s="281">
        <v>-5384</v>
      </c>
      <c r="N9" s="65"/>
      <c r="O9" s="154">
        <v>39293</v>
      </c>
      <c r="P9" s="154">
        <v>39293</v>
      </c>
      <c r="Q9" s="154">
        <v>39293</v>
      </c>
      <c r="R9" s="155">
        <v>25147</v>
      </c>
      <c r="T9" s="197">
        <v>-6225</v>
      </c>
      <c r="U9" s="197">
        <v>-6225</v>
      </c>
      <c r="V9" s="197">
        <v>-4480</v>
      </c>
      <c r="X9" s="281">
        <f>VLOOKUP(A9,'Change in Proportion Calc'!$A$5:$H$316,8,FALSE)+I9+O9+T9</f>
        <v>87828</v>
      </c>
      <c r="Z9" s="280">
        <f t="shared" ref="Z9:Z72" si="0">IF(SUM(C9:G9)&gt;0,SUM(C9:G9),0)+IF(SUM(J9:M9)&gt;0,SUM(J9:M9),0)+IF(SUM(P9:R9)&gt;0,SUM(P9:R9),0)+IF(SUM(U9:V9)&gt;0,SUM(U9:V9),0)</f>
        <v>403809</v>
      </c>
      <c r="AA9" s="280">
        <f t="shared" ref="AA9:AA72" si="1">IF(SUM(C9:G9)&lt;0,-SUM(C9:G9),0)+IF(SUM(J9:M9)&lt;0,-SUM(J9:M9),0)+IF(SUM(P9:R9)&lt;0,-SUM(P9:R9),0)+IF(SUM(U9:V9)&lt;0,-SUM(U9:V9),0)</f>
        <v>32577</v>
      </c>
      <c r="AC9" s="280">
        <f>VLOOKUP(A9,'OPEB Amounts_Report'!$A$10:$F$321,6,FALSE)</f>
        <v>403809</v>
      </c>
      <c r="AD9" s="281">
        <f t="shared" ref="AD9:AD72" si="2">+Z9-AC9</f>
        <v>0</v>
      </c>
    </row>
    <row r="10" spans="1:30">
      <c r="A10" s="62">
        <v>2340</v>
      </c>
      <c r="B10" s="66" t="s">
        <v>7</v>
      </c>
      <c r="C10" s="90">
        <f>VLOOKUP(A10,'Change in Proportion Calc'!$A$5:$P$316,12,FALSE)</f>
        <v>8666</v>
      </c>
      <c r="D10" s="90">
        <f>VLOOKUP(A10,'Change in Proportion Calc'!$A$5:$P$316,13,FALSE)</f>
        <v>8666</v>
      </c>
      <c r="E10" s="90">
        <f>VLOOKUP(A10,'Change in Proportion Calc'!$A$5:$P$316,13,FALSE)</f>
        <v>8666</v>
      </c>
      <c r="F10" s="90">
        <f>VLOOKUP(A10,'Change in Proportion Calc'!$A$5:$P$316,13,FALSE)</f>
        <v>8666</v>
      </c>
      <c r="G10" s="90">
        <f>VLOOKUP(A10,'Change in Proportion Calc'!$A$5:$P$316,16,FALSE)</f>
        <v>8492</v>
      </c>
      <c r="H10" s="255"/>
      <c r="I10" s="280">
        <v>-10734</v>
      </c>
      <c r="J10" s="280">
        <v>-10734</v>
      </c>
      <c r="K10" s="280">
        <v>-10734</v>
      </c>
      <c r="L10" s="280">
        <v>-10734</v>
      </c>
      <c r="M10" s="281">
        <v>-10517</v>
      </c>
      <c r="N10" s="65"/>
      <c r="O10" s="154">
        <v>-6986</v>
      </c>
      <c r="P10" s="154">
        <v>-6986</v>
      </c>
      <c r="Q10" s="154">
        <v>-6986</v>
      </c>
      <c r="R10" s="155">
        <v>-4469</v>
      </c>
      <c r="T10" s="197">
        <v>2723</v>
      </c>
      <c r="U10" s="197">
        <v>2723</v>
      </c>
      <c r="V10" s="197">
        <v>1962</v>
      </c>
      <c r="X10" s="281">
        <f>VLOOKUP(A10,'Change in Proportion Calc'!$A$5:$H$316,8,FALSE)+I10+O10+T10</f>
        <v>-6331</v>
      </c>
      <c r="Z10" s="280">
        <f t="shared" si="0"/>
        <v>47841</v>
      </c>
      <c r="AA10" s="280">
        <f t="shared" si="1"/>
        <v>61160</v>
      </c>
      <c r="AC10" s="280">
        <f>VLOOKUP(A10,'OPEB Amounts_Report'!$A$10:$F$321,6,FALSE)</f>
        <v>47841</v>
      </c>
      <c r="AD10" s="281">
        <f t="shared" si="2"/>
        <v>0</v>
      </c>
    </row>
    <row r="11" spans="1:30">
      <c r="A11" s="64">
        <v>1301</v>
      </c>
      <c r="B11" s="65" t="s">
        <v>8</v>
      </c>
      <c r="C11" s="90">
        <f>VLOOKUP(A11,'Change in Proportion Calc'!$A$5:$P$316,12,FALSE)</f>
        <v>35635</v>
      </c>
      <c r="D11" s="90">
        <f>VLOOKUP(A11,'Change in Proportion Calc'!$A$5:$P$316,13,FALSE)</f>
        <v>35635</v>
      </c>
      <c r="E11" s="90">
        <f>VLOOKUP(A11,'Change in Proportion Calc'!$A$5:$P$316,13,FALSE)</f>
        <v>35635</v>
      </c>
      <c r="F11" s="90">
        <f>VLOOKUP(A11,'Change in Proportion Calc'!$A$5:$P$316,13,FALSE)</f>
        <v>35635</v>
      </c>
      <c r="G11" s="90">
        <f>VLOOKUP(A11,'Change in Proportion Calc'!$A$5:$P$316,16,FALSE)</f>
        <v>34924</v>
      </c>
      <c r="H11" s="255"/>
      <c r="I11" s="280">
        <v>10991</v>
      </c>
      <c r="J11" s="280">
        <v>10991</v>
      </c>
      <c r="K11" s="280">
        <v>10991</v>
      </c>
      <c r="L11" s="280">
        <v>10991</v>
      </c>
      <c r="M11" s="281">
        <v>10773</v>
      </c>
      <c r="N11" s="65"/>
      <c r="O11" s="154">
        <v>25322</v>
      </c>
      <c r="P11" s="154">
        <v>25322</v>
      </c>
      <c r="Q11" s="154">
        <v>25322</v>
      </c>
      <c r="R11" s="155">
        <v>16206</v>
      </c>
      <c r="T11" s="197">
        <v>-15561</v>
      </c>
      <c r="U11" s="197">
        <v>-15561</v>
      </c>
      <c r="V11" s="197">
        <v>-11204</v>
      </c>
      <c r="X11" s="281">
        <f>VLOOKUP(A11,'Change in Proportion Calc'!$A$5:$H$316,8,FALSE)+I11+O11+T11</f>
        <v>56387</v>
      </c>
      <c r="Z11" s="280">
        <f t="shared" si="0"/>
        <v>288060</v>
      </c>
      <c r="AA11" s="280">
        <f t="shared" si="1"/>
        <v>26765</v>
      </c>
      <c r="AC11" s="280">
        <f>VLOOKUP(A11,'OPEB Amounts_Report'!$A$10:$F$321,6,FALSE)</f>
        <v>288060</v>
      </c>
      <c r="AD11" s="281">
        <f t="shared" si="2"/>
        <v>0</v>
      </c>
    </row>
    <row r="12" spans="1:30">
      <c r="A12" s="62">
        <v>2390</v>
      </c>
      <c r="B12" s="66" t="s">
        <v>9</v>
      </c>
      <c r="C12" s="90">
        <f>VLOOKUP(A12,'Change in Proportion Calc'!$A$5:$P$316,12,FALSE)</f>
        <v>18142</v>
      </c>
      <c r="D12" s="90">
        <f>VLOOKUP(A12,'Change in Proportion Calc'!$A$5:$P$316,13,FALSE)</f>
        <v>18142</v>
      </c>
      <c r="E12" s="90">
        <f>VLOOKUP(A12,'Change in Proportion Calc'!$A$5:$P$316,13,FALSE)</f>
        <v>18142</v>
      </c>
      <c r="F12" s="90">
        <f>VLOOKUP(A12,'Change in Proportion Calc'!$A$5:$P$316,13,FALSE)</f>
        <v>18142</v>
      </c>
      <c r="G12" s="90">
        <f>VLOOKUP(A12,'Change in Proportion Calc'!$A$5:$P$316,16,FALSE)</f>
        <v>17777</v>
      </c>
      <c r="H12" s="255"/>
      <c r="I12" s="280">
        <v>-26190</v>
      </c>
      <c r="J12" s="280">
        <v>-26190</v>
      </c>
      <c r="K12" s="280">
        <v>-26190</v>
      </c>
      <c r="L12" s="280">
        <v>-26190</v>
      </c>
      <c r="M12" s="281">
        <v>-25667</v>
      </c>
      <c r="N12" s="65"/>
      <c r="O12" s="154">
        <v>-54040</v>
      </c>
      <c r="P12" s="154">
        <v>-54040</v>
      </c>
      <c r="Q12" s="154">
        <v>-54040</v>
      </c>
      <c r="R12" s="155">
        <v>-34584</v>
      </c>
      <c r="T12" s="197">
        <v>-21396</v>
      </c>
      <c r="U12" s="197">
        <v>-21396</v>
      </c>
      <c r="V12" s="197">
        <v>-15407</v>
      </c>
      <c r="X12" s="281">
        <f>VLOOKUP(A12,'Change in Proportion Calc'!$A$5:$H$316,8,FALSE)+I12+O12+T12</f>
        <v>-83484</v>
      </c>
      <c r="Z12" s="280">
        <f t="shared" si="0"/>
        <v>90345</v>
      </c>
      <c r="AA12" s="280">
        <f t="shared" si="1"/>
        <v>283704</v>
      </c>
      <c r="AC12" s="280">
        <f>VLOOKUP(A12,'OPEB Amounts_Report'!$A$10:$F$321,6,FALSE)</f>
        <v>90345</v>
      </c>
      <c r="AD12" s="281">
        <f t="shared" si="2"/>
        <v>0</v>
      </c>
    </row>
    <row r="13" spans="1:30" s="216" customFormat="1">
      <c r="A13" s="254">
        <v>2441</v>
      </c>
      <c r="B13" s="255" t="s">
        <v>444</v>
      </c>
      <c r="C13" s="90">
        <f>VLOOKUP(A13,'Change in Proportion Calc'!$A$5:$P$316,12,FALSE)</f>
        <v>65520</v>
      </c>
      <c r="D13" s="90">
        <f>VLOOKUP(A13,'Change in Proportion Calc'!$A$5:$P$316,13,FALSE)</f>
        <v>65520</v>
      </c>
      <c r="E13" s="90">
        <f>VLOOKUP(A13,'Change in Proportion Calc'!$A$5:$P$316,13,FALSE)</f>
        <v>65520</v>
      </c>
      <c r="F13" s="90">
        <f>VLOOKUP(A13,'Change in Proportion Calc'!$A$5:$P$316,13,FALSE)</f>
        <v>65520</v>
      </c>
      <c r="G13" s="90">
        <f>VLOOKUP(A13,'Change in Proportion Calc'!$A$5:$P$316,16,FALSE)</f>
        <v>64212</v>
      </c>
      <c r="H13" s="255"/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55"/>
      <c r="O13" s="280">
        <v>0</v>
      </c>
      <c r="P13" s="280">
        <v>0</v>
      </c>
      <c r="Q13" s="280">
        <v>0</v>
      </c>
      <c r="R13" s="280">
        <v>0</v>
      </c>
      <c r="T13" s="280">
        <v>0</v>
      </c>
      <c r="U13" s="280">
        <v>0</v>
      </c>
      <c r="V13" s="280">
        <v>0</v>
      </c>
      <c r="X13" s="281">
        <f>VLOOKUP(A13,'Change in Proportion Calc'!$A$5:$H$316,8,FALSE)+I13+O13+T13</f>
        <v>65520</v>
      </c>
      <c r="Z13" s="280">
        <f t="shared" si="0"/>
        <v>326292</v>
      </c>
      <c r="AA13" s="280">
        <f t="shared" si="1"/>
        <v>0</v>
      </c>
      <c r="AC13" s="280">
        <f>VLOOKUP(A13,'OPEB Amounts_Report'!$A$10:$F$321,6,FALSE)</f>
        <v>326292</v>
      </c>
      <c r="AD13" s="281">
        <f t="shared" si="2"/>
        <v>0</v>
      </c>
    </row>
    <row r="14" spans="1:30">
      <c r="A14" s="64">
        <v>15046</v>
      </c>
      <c r="B14" s="65" t="s">
        <v>10</v>
      </c>
      <c r="C14" s="90">
        <f>VLOOKUP(A14,'Change in Proportion Calc'!$A$5:$P$316,12,FALSE)</f>
        <v>-40657</v>
      </c>
      <c r="D14" s="90">
        <f>VLOOKUP(A14,'Change in Proportion Calc'!$A$5:$P$316,13,FALSE)</f>
        <v>-40657</v>
      </c>
      <c r="E14" s="90">
        <f>VLOOKUP(A14,'Change in Proportion Calc'!$A$5:$P$316,13,FALSE)</f>
        <v>-40657</v>
      </c>
      <c r="F14" s="90">
        <f>VLOOKUP(A14,'Change in Proportion Calc'!$A$5:$P$316,13,FALSE)</f>
        <v>-40657</v>
      </c>
      <c r="G14" s="90">
        <f>VLOOKUP(A14,'Change in Proportion Calc'!$A$5:$P$316,16,FALSE)</f>
        <v>-39842</v>
      </c>
      <c r="H14" s="255"/>
      <c r="I14" s="280">
        <v>377481</v>
      </c>
      <c r="J14" s="280">
        <v>377481</v>
      </c>
      <c r="K14" s="280">
        <v>377481</v>
      </c>
      <c r="L14" s="280">
        <v>377481</v>
      </c>
      <c r="M14" s="281">
        <v>369929</v>
      </c>
      <c r="N14" s="65"/>
      <c r="O14" s="154">
        <v>-19016</v>
      </c>
      <c r="P14" s="154">
        <v>-19016</v>
      </c>
      <c r="Q14" s="154">
        <v>-19016</v>
      </c>
      <c r="R14" s="155">
        <v>-12169</v>
      </c>
      <c r="T14" s="197">
        <v>-101050</v>
      </c>
      <c r="U14" s="197">
        <v>-101050</v>
      </c>
      <c r="V14" s="197">
        <v>-72754</v>
      </c>
      <c r="X14" s="281">
        <f>VLOOKUP(A14,'Change in Proportion Calc'!$A$5:$H$316,8,FALSE)+I14+O14+T14</f>
        <v>216758</v>
      </c>
      <c r="Z14" s="280">
        <f t="shared" si="0"/>
        <v>1502372</v>
      </c>
      <c r="AA14" s="280">
        <f t="shared" si="1"/>
        <v>426475</v>
      </c>
      <c r="AC14" s="280">
        <f>VLOOKUP(A14,'OPEB Amounts_Report'!$A$10:$F$321,6,FALSE)</f>
        <v>1502372</v>
      </c>
      <c r="AD14" s="281">
        <f t="shared" si="2"/>
        <v>0</v>
      </c>
    </row>
    <row r="15" spans="1:30">
      <c r="A15" s="62">
        <v>4380</v>
      </c>
      <c r="B15" s="66" t="s">
        <v>11</v>
      </c>
      <c r="C15" s="90">
        <f>VLOOKUP(A15,'Change in Proportion Calc'!$A$5:$P$316,12,FALSE)</f>
        <v>58717</v>
      </c>
      <c r="D15" s="90">
        <f>VLOOKUP(A15,'Change in Proportion Calc'!$A$5:$P$316,13,FALSE)</f>
        <v>58717</v>
      </c>
      <c r="E15" s="90">
        <f>VLOOKUP(A15,'Change in Proportion Calc'!$A$5:$P$316,13,FALSE)</f>
        <v>58717</v>
      </c>
      <c r="F15" s="90">
        <f>VLOOKUP(A15,'Change in Proportion Calc'!$A$5:$P$316,13,FALSE)</f>
        <v>58717</v>
      </c>
      <c r="G15" s="90">
        <f>VLOOKUP(A15,'Change in Proportion Calc'!$A$5:$P$316,16,FALSE)</f>
        <v>57545</v>
      </c>
      <c r="H15" s="255"/>
      <c r="I15" s="280">
        <v>-420930</v>
      </c>
      <c r="J15" s="280">
        <v>-420930</v>
      </c>
      <c r="K15" s="280">
        <v>-420930</v>
      </c>
      <c r="L15" s="280">
        <v>-420930</v>
      </c>
      <c r="M15" s="281">
        <v>-412513</v>
      </c>
      <c r="N15" s="65"/>
      <c r="O15" s="154">
        <v>-158142</v>
      </c>
      <c r="P15" s="154">
        <v>-158142</v>
      </c>
      <c r="Q15" s="154">
        <v>-158142</v>
      </c>
      <c r="R15" s="155">
        <v>-101209</v>
      </c>
      <c r="T15" s="197">
        <v>-103773</v>
      </c>
      <c r="U15" s="197">
        <v>-103773</v>
      </c>
      <c r="V15" s="197">
        <v>-74715</v>
      </c>
      <c r="X15" s="281">
        <f>VLOOKUP(A15,'Change in Proportion Calc'!$A$5:$H$316,8,FALSE)+I15+O15+T15</f>
        <v>-624128</v>
      </c>
      <c r="Z15" s="280">
        <f t="shared" si="0"/>
        <v>292413</v>
      </c>
      <c r="AA15" s="280">
        <f t="shared" si="1"/>
        <v>2271284</v>
      </c>
      <c r="AC15" s="280">
        <f>VLOOKUP(A15,'OPEB Amounts_Report'!$A$10:$F$321,6,FALSE)</f>
        <v>292413</v>
      </c>
      <c r="AD15" s="281">
        <f t="shared" si="2"/>
        <v>0</v>
      </c>
    </row>
    <row r="16" spans="1:30">
      <c r="A16" s="64">
        <v>2435</v>
      </c>
      <c r="B16" s="65" t="s">
        <v>409</v>
      </c>
      <c r="C16" s="90">
        <f>VLOOKUP(A16,'Change in Proportion Calc'!$A$5:$P$316,12,FALSE)</f>
        <v>37336</v>
      </c>
      <c r="D16" s="90">
        <f>VLOOKUP(A16,'Change in Proportion Calc'!$A$5:$P$316,13,FALSE)</f>
        <v>37336</v>
      </c>
      <c r="E16" s="90">
        <f>VLOOKUP(A16,'Change in Proportion Calc'!$A$5:$P$316,13,FALSE)</f>
        <v>37336</v>
      </c>
      <c r="F16" s="90">
        <f>VLOOKUP(A16,'Change in Proportion Calc'!$A$5:$P$316,13,FALSE)</f>
        <v>37336</v>
      </c>
      <c r="G16" s="90">
        <f>VLOOKUP(A16,'Change in Proportion Calc'!$A$5:$P$316,16,FALSE)</f>
        <v>36590</v>
      </c>
      <c r="H16" s="255"/>
      <c r="I16" s="280">
        <v>22927</v>
      </c>
      <c r="J16" s="280">
        <v>22927</v>
      </c>
      <c r="K16" s="280">
        <v>22927</v>
      </c>
      <c r="L16" s="280">
        <v>22927</v>
      </c>
      <c r="M16" s="281">
        <v>22469</v>
      </c>
      <c r="N16" s="65"/>
      <c r="O16" s="154">
        <v>67622</v>
      </c>
      <c r="P16" s="154">
        <v>67622</v>
      </c>
      <c r="Q16" s="154">
        <v>67622</v>
      </c>
      <c r="R16" s="155">
        <v>43280</v>
      </c>
      <c r="T16" s="197">
        <v>0</v>
      </c>
      <c r="U16" s="197">
        <v>0</v>
      </c>
      <c r="V16" s="197">
        <v>0</v>
      </c>
      <c r="X16" s="281">
        <f>VLOOKUP(A16,'Change in Proportion Calc'!$A$5:$H$316,8,FALSE)+I16+O16+T16</f>
        <v>127885</v>
      </c>
      <c r="Z16" s="280">
        <f t="shared" si="0"/>
        <v>455708</v>
      </c>
      <c r="AA16" s="280">
        <f t="shared" si="1"/>
        <v>0</v>
      </c>
      <c r="AC16" s="280">
        <f>VLOOKUP(A16,'OPEB Amounts_Report'!$A$10:$F$321,6,FALSE)</f>
        <v>455708</v>
      </c>
      <c r="AD16" s="281">
        <f t="shared" si="2"/>
        <v>0</v>
      </c>
    </row>
    <row r="17" spans="1:30">
      <c r="A17" s="62">
        <v>4560</v>
      </c>
      <c r="B17" s="66" t="s">
        <v>12</v>
      </c>
      <c r="C17" s="90">
        <f>VLOOKUP(A17,'Change in Proportion Calc'!$A$5:$P$316,12,FALSE)</f>
        <v>42034</v>
      </c>
      <c r="D17" s="90">
        <f>VLOOKUP(A17,'Change in Proportion Calc'!$A$5:$P$316,13,FALSE)</f>
        <v>42034</v>
      </c>
      <c r="E17" s="90">
        <f>VLOOKUP(A17,'Change in Proportion Calc'!$A$5:$P$316,13,FALSE)</f>
        <v>42034</v>
      </c>
      <c r="F17" s="90">
        <f>VLOOKUP(A17,'Change in Proportion Calc'!$A$5:$P$316,13,FALSE)</f>
        <v>42034</v>
      </c>
      <c r="G17" s="90">
        <f>VLOOKUP(A17,'Change in Proportion Calc'!$A$5:$P$316,16,FALSE)</f>
        <v>41191</v>
      </c>
      <c r="H17" s="255"/>
      <c r="I17" s="280">
        <v>-17174</v>
      </c>
      <c r="J17" s="280">
        <v>-17174</v>
      </c>
      <c r="K17" s="280">
        <v>-17174</v>
      </c>
      <c r="L17" s="280">
        <v>-17174</v>
      </c>
      <c r="M17" s="281">
        <v>-16829</v>
      </c>
      <c r="N17" s="65"/>
      <c r="O17" s="154">
        <v>-32986</v>
      </c>
      <c r="P17" s="154">
        <v>-32986</v>
      </c>
      <c r="Q17" s="154">
        <v>-32986</v>
      </c>
      <c r="R17" s="155">
        <v>-21113</v>
      </c>
      <c r="T17" s="197">
        <v>-51157</v>
      </c>
      <c r="U17" s="197">
        <v>-51157</v>
      </c>
      <c r="V17" s="197">
        <v>-36833</v>
      </c>
      <c r="X17" s="281">
        <f>VLOOKUP(A17,'Change in Proportion Calc'!$A$5:$H$316,8,FALSE)+I17+O17+T17</f>
        <v>-59284</v>
      </c>
      <c r="Z17" s="280">
        <f t="shared" si="0"/>
        <v>209327</v>
      </c>
      <c r="AA17" s="280">
        <f t="shared" si="1"/>
        <v>243426</v>
      </c>
      <c r="AC17" s="280">
        <f>VLOOKUP(A17,'OPEB Amounts_Report'!$A$10:$F$321,6,FALSE)</f>
        <v>209327</v>
      </c>
      <c r="AD17" s="281">
        <f t="shared" si="2"/>
        <v>0</v>
      </c>
    </row>
    <row r="18" spans="1:30">
      <c r="A18" s="64">
        <v>2341</v>
      </c>
      <c r="B18" s="65" t="s">
        <v>440</v>
      </c>
      <c r="C18" s="90">
        <f>VLOOKUP(A18,'Change in Proportion Calc'!$A$5:$P$316,12,FALSE)</f>
        <v>-13930</v>
      </c>
      <c r="D18" s="90">
        <f>VLOOKUP(A18,'Change in Proportion Calc'!$A$5:$P$316,13,FALSE)</f>
        <v>-13930</v>
      </c>
      <c r="E18" s="90">
        <f>VLOOKUP(A18,'Change in Proportion Calc'!$A$5:$P$316,13,FALSE)</f>
        <v>-13930</v>
      </c>
      <c r="F18" s="90">
        <f>VLOOKUP(A18,'Change in Proportion Calc'!$A$5:$P$316,13,FALSE)</f>
        <v>-13930</v>
      </c>
      <c r="G18" s="90">
        <f>VLOOKUP(A18,'Change in Proportion Calc'!$A$5:$P$316,16,FALSE)</f>
        <v>-13653</v>
      </c>
      <c r="H18" s="255"/>
      <c r="I18" s="280">
        <v>-10047</v>
      </c>
      <c r="J18" s="280">
        <v>-10047</v>
      </c>
      <c r="K18" s="280">
        <v>-10047</v>
      </c>
      <c r="L18" s="280">
        <v>-10047</v>
      </c>
      <c r="M18" s="281">
        <v>-9844</v>
      </c>
      <c r="N18" s="65"/>
      <c r="O18" s="154">
        <v>10284</v>
      </c>
      <c r="P18" s="154">
        <v>10284</v>
      </c>
      <c r="Q18" s="154">
        <v>10284</v>
      </c>
      <c r="R18" s="155">
        <v>6582</v>
      </c>
      <c r="T18" s="197">
        <v>-29177</v>
      </c>
      <c r="U18" s="197">
        <v>-29177</v>
      </c>
      <c r="V18" s="197">
        <v>-21007</v>
      </c>
      <c r="X18" s="281">
        <f>VLOOKUP(A18,'Change in Proportion Calc'!$A$5:$H$316,8,FALSE)+I18+O18+T18</f>
        <v>-42870</v>
      </c>
      <c r="Z18" s="280">
        <f t="shared" si="0"/>
        <v>27150</v>
      </c>
      <c r="AA18" s="280">
        <f t="shared" si="1"/>
        <v>159542</v>
      </c>
      <c r="AC18" s="280">
        <f>VLOOKUP(A18,'OPEB Amounts_Report'!$A$10:$F$321,6,FALSE)</f>
        <v>27150</v>
      </c>
      <c r="AD18" s="281">
        <f t="shared" si="2"/>
        <v>0</v>
      </c>
    </row>
    <row r="19" spans="1:30">
      <c r="A19" s="62">
        <v>4580</v>
      </c>
      <c r="B19" s="66" t="s">
        <v>410</v>
      </c>
      <c r="C19" s="90">
        <f>VLOOKUP(A19,'Change in Proportion Calc'!$A$5:$P$316,12,FALSE)</f>
        <v>-3320</v>
      </c>
      <c r="D19" s="90">
        <f>VLOOKUP(A19,'Change in Proportion Calc'!$A$5:$P$316,13,FALSE)</f>
        <v>-3320</v>
      </c>
      <c r="E19" s="90">
        <f>VLOOKUP(A19,'Change in Proportion Calc'!$A$5:$P$316,13,FALSE)</f>
        <v>-3320</v>
      </c>
      <c r="F19" s="90">
        <f>VLOOKUP(A19,'Change in Proportion Calc'!$A$5:$P$316,13,FALSE)</f>
        <v>-3320</v>
      </c>
      <c r="G19" s="90">
        <f>VLOOKUP(A19,'Change in Proportion Calc'!$A$5:$P$316,16,FALSE)</f>
        <v>-3256</v>
      </c>
      <c r="H19" s="255"/>
      <c r="I19" s="280">
        <v>-17775</v>
      </c>
      <c r="J19" s="280">
        <v>-17775</v>
      </c>
      <c r="K19" s="280">
        <v>-17775</v>
      </c>
      <c r="L19" s="280">
        <v>-17775</v>
      </c>
      <c r="M19" s="281">
        <v>-17419</v>
      </c>
      <c r="N19" s="65"/>
      <c r="O19" s="154">
        <v>325403</v>
      </c>
      <c r="P19" s="154">
        <v>325403</v>
      </c>
      <c r="Q19" s="154">
        <v>325403</v>
      </c>
      <c r="R19" s="155">
        <v>208257</v>
      </c>
      <c r="T19" s="197">
        <v>0</v>
      </c>
      <c r="U19" s="197">
        <v>0</v>
      </c>
      <c r="V19" s="197">
        <v>0</v>
      </c>
      <c r="X19" s="281">
        <f>VLOOKUP(A19,'Change in Proportion Calc'!$A$5:$H$316,8,FALSE)+I19+O19+T19</f>
        <v>304307</v>
      </c>
      <c r="Z19" s="280">
        <f t="shared" si="0"/>
        <v>859063</v>
      </c>
      <c r="AA19" s="280">
        <f t="shared" si="1"/>
        <v>87280</v>
      </c>
      <c r="AC19" s="280">
        <f>VLOOKUP(A19,'OPEB Amounts_Report'!$A$10:$F$321,6,FALSE)</f>
        <v>859063</v>
      </c>
      <c r="AD19" s="281">
        <f t="shared" si="2"/>
        <v>0</v>
      </c>
    </row>
    <row r="20" spans="1:30">
      <c r="A20" s="64">
        <v>2003</v>
      </c>
      <c r="B20" s="65" t="s">
        <v>13</v>
      </c>
      <c r="C20" s="90">
        <f>VLOOKUP(A20,'Change in Proportion Calc'!$A$5:$P$316,12,FALSE)</f>
        <v>-1941965</v>
      </c>
      <c r="D20" s="90">
        <f>VLOOKUP(A20,'Change in Proportion Calc'!$A$5:$P$316,13,FALSE)</f>
        <v>-1941965</v>
      </c>
      <c r="E20" s="90">
        <f>VLOOKUP(A20,'Change in Proportion Calc'!$A$5:$P$316,13,FALSE)</f>
        <v>-1941965</v>
      </c>
      <c r="F20" s="90">
        <f>VLOOKUP(A20,'Change in Proportion Calc'!$A$5:$P$316,13,FALSE)</f>
        <v>-1941965</v>
      </c>
      <c r="G20" s="90">
        <f>VLOOKUP(A20,'Change in Proportion Calc'!$A$5:$P$316,16,FALSE)</f>
        <v>-1903127</v>
      </c>
      <c r="H20" s="255"/>
      <c r="I20" s="280">
        <v>3085190</v>
      </c>
      <c r="J20" s="280">
        <v>3085190</v>
      </c>
      <c r="K20" s="280">
        <v>3085190</v>
      </c>
      <c r="L20" s="280">
        <v>3085190</v>
      </c>
      <c r="M20" s="281">
        <v>3023487</v>
      </c>
      <c r="N20" s="65"/>
      <c r="O20" s="154">
        <v>1423953</v>
      </c>
      <c r="P20" s="154">
        <v>1423953</v>
      </c>
      <c r="Q20" s="154">
        <v>1423953</v>
      </c>
      <c r="R20" s="155">
        <v>911328</v>
      </c>
      <c r="T20" s="197">
        <v>-1960204</v>
      </c>
      <c r="U20" s="197">
        <v>-1960204</v>
      </c>
      <c r="V20" s="197">
        <v>-1411349</v>
      </c>
      <c r="X20" s="281">
        <f>VLOOKUP(A20,'Change in Proportion Calc'!$A$5:$H$316,8,FALSE)+I20+O20+T20</f>
        <v>606974</v>
      </c>
      <c r="Z20" s="280">
        <f t="shared" si="0"/>
        <v>16038291</v>
      </c>
      <c r="AA20" s="280">
        <f t="shared" si="1"/>
        <v>13042540</v>
      </c>
      <c r="AC20" s="280">
        <f>VLOOKUP(A20,'OPEB Amounts_Report'!$A$10:$F$321,6,FALSE)</f>
        <v>16038291</v>
      </c>
      <c r="AD20" s="281">
        <f t="shared" si="2"/>
        <v>0</v>
      </c>
    </row>
    <row r="21" spans="1:30">
      <c r="A21" s="62">
        <v>2412</v>
      </c>
      <c r="B21" s="66" t="s">
        <v>14</v>
      </c>
      <c r="C21" s="90">
        <f>VLOOKUP(A21,'Change in Proportion Calc'!$A$5:$P$316,12,FALSE)</f>
        <v>219482</v>
      </c>
      <c r="D21" s="90">
        <f>VLOOKUP(A21,'Change in Proportion Calc'!$A$5:$P$316,13,FALSE)</f>
        <v>219482</v>
      </c>
      <c r="E21" s="90">
        <f>VLOOKUP(A21,'Change in Proportion Calc'!$A$5:$P$316,13,FALSE)</f>
        <v>219482</v>
      </c>
      <c r="F21" s="90">
        <f>VLOOKUP(A21,'Change in Proportion Calc'!$A$5:$P$316,13,FALSE)</f>
        <v>219482</v>
      </c>
      <c r="G21" s="90">
        <f>VLOOKUP(A21,'Change in Proportion Calc'!$A$5:$P$316,16,FALSE)</f>
        <v>215090</v>
      </c>
      <c r="H21" s="255"/>
      <c r="I21" s="280">
        <v>83722</v>
      </c>
      <c r="J21" s="280">
        <v>83722</v>
      </c>
      <c r="K21" s="280">
        <v>83722</v>
      </c>
      <c r="L21" s="280">
        <v>83722</v>
      </c>
      <c r="M21" s="281">
        <v>82050</v>
      </c>
      <c r="N21" s="65"/>
      <c r="O21" s="154">
        <v>115356</v>
      </c>
      <c r="P21" s="154">
        <v>115356</v>
      </c>
      <c r="Q21" s="154">
        <v>115356</v>
      </c>
      <c r="R21" s="155">
        <v>73828</v>
      </c>
      <c r="T21" s="197">
        <v>25773</v>
      </c>
      <c r="U21" s="197">
        <v>25773</v>
      </c>
      <c r="V21" s="197">
        <v>18556</v>
      </c>
      <c r="X21" s="281">
        <f>VLOOKUP(A21,'Change in Proportion Calc'!$A$5:$H$316,8,FALSE)+I21+O21+T21</f>
        <v>444332</v>
      </c>
      <c r="Z21" s="280">
        <f t="shared" si="0"/>
        <v>1775103</v>
      </c>
      <c r="AA21" s="280">
        <f t="shared" si="1"/>
        <v>0</v>
      </c>
      <c r="AC21" s="280">
        <f>VLOOKUP(A21,'OPEB Amounts_Report'!$A$10:$F$321,6,FALSE)</f>
        <v>1775103</v>
      </c>
      <c r="AD21" s="281">
        <f t="shared" si="2"/>
        <v>0</v>
      </c>
    </row>
    <row r="22" spans="1:30">
      <c r="A22" s="64">
        <v>2402</v>
      </c>
      <c r="B22" s="65" t="s">
        <v>15</v>
      </c>
      <c r="C22" s="90">
        <f>VLOOKUP(A22,'Change in Proportion Calc'!$A$5:$P$316,12,FALSE)</f>
        <v>28751</v>
      </c>
      <c r="D22" s="90">
        <f>VLOOKUP(A22,'Change in Proportion Calc'!$A$5:$P$316,13,FALSE)</f>
        <v>28751</v>
      </c>
      <c r="E22" s="90">
        <f>VLOOKUP(A22,'Change in Proportion Calc'!$A$5:$P$316,13,FALSE)</f>
        <v>28751</v>
      </c>
      <c r="F22" s="90">
        <f>VLOOKUP(A22,'Change in Proportion Calc'!$A$5:$P$316,13,FALSE)</f>
        <v>28751</v>
      </c>
      <c r="G22" s="90">
        <f>VLOOKUP(A22,'Change in Proportion Calc'!$A$5:$P$316,16,FALSE)</f>
        <v>28178</v>
      </c>
      <c r="H22" s="255"/>
      <c r="I22" s="280">
        <v>15027</v>
      </c>
      <c r="J22" s="280">
        <v>15027</v>
      </c>
      <c r="K22" s="280">
        <v>15027</v>
      </c>
      <c r="L22" s="280">
        <v>15027</v>
      </c>
      <c r="M22" s="281">
        <v>14727</v>
      </c>
      <c r="N22" s="65"/>
      <c r="O22" s="154">
        <v>-50062</v>
      </c>
      <c r="P22" s="154">
        <v>-50062</v>
      </c>
      <c r="Q22" s="154">
        <v>-50062</v>
      </c>
      <c r="R22" s="155">
        <v>-32040</v>
      </c>
      <c r="T22" s="197">
        <v>-35013</v>
      </c>
      <c r="U22" s="197">
        <v>-35013</v>
      </c>
      <c r="V22" s="197">
        <v>-25207</v>
      </c>
      <c r="X22" s="281">
        <f>VLOOKUP(A22,'Change in Proportion Calc'!$A$5:$H$316,8,FALSE)+I22+O22+T22</f>
        <v>-41297</v>
      </c>
      <c r="Z22" s="280">
        <f t="shared" si="0"/>
        <v>202990</v>
      </c>
      <c r="AA22" s="280">
        <f t="shared" si="1"/>
        <v>192384</v>
      </c>
      <c r="AC22" s="280">
        <f>VLOOKUP(A22,'OPEB Amounts_Report'!$A$10:$F$321,6,FALSE)</f>
        <v>202990</v>
      </c>
      <c r="AD22" s="281">
        <f t="shared" si="2"/>
        <v>0</v>
      </c>
    </row>
    <row r="23" spans="1:30">
      <c r="A23" s="62">
        <v>2361</v>
      </c>
      <c r="B23" s="66" t="s">
        <v>16</v>
      </c>
      <c r="C23" s="90">
        <f>VLOOKUP(A23,'Change in Proportion Calc'!$A$5:$P$316,12,FALSE)</f>
        <v>-13120</v>
      </c>
      <c r="D23" s="90">
        <f>VLOOKUP(A23,'Change in Proportion Calc'!$A$5:$P$316,13,FALSE)</f>
        <v>-13120</v>
      </c>
      <c r="E23" s="90">
        <f>VLOOKUP(A23,'Change in Proportion Calc'!$A$5:$P$316,13,FALSE)</f>
        <v>-13120</v>
      </c>
      <c r="F23" s="90">
        <f>VLOOKUP(A23,'Change in Proportion Calc'!$A$5:$P$316,13,FALSE)</f>
        <v>-13120</v>
      </c>
      <c r="G23" s="90">
        <f>VLOOKUP(A23,'Change in Proportion Calc'!$A$5:$P$316,16,FALSE)</f>
        <v>-12859</v>
      </c>
      <c r="H23" s="255"/>
      <c r="I23" s="280">
        <v>-14769</v>
      </c>
      <c r="J23" s="280">
        <v>-14769</v>
      </c>
      <c r="K23" s="280">
        <v>-14769</v>
      </c>
      <c r="L23" s="280">
        <v>-14769</v>
      </c>
      <c r="M23" s="281">
        <v>-14476</v>
      </c>
      <c r="N23" s="65"/>
      <c r="O23" s="154">
        <v>15135</v>
      </c>
      <c r="P23" s="154">
        <v>15135</v>
      </c>
      <c r="Q23" s="154">
        <v>15135</v>
      </c>
      <c r="R23" s="155">
        <v>9686</v>
      </c>
      <c r="T23" s="197">
        <v>-3015</v>
      </c>
      <c r="U23" s="197">
        <v>-3015</v>
      </c>
      <c r="V23" s="197">
        <v>-2171</v>
      </c>
      <c r="X23" s="281">
        <f>VLOOKUP(A23,'Change in Proportion Calc'!$A$5:$H$316,8,FALSE)+I23+O23+T23</f>
        <v>-15769</v>
      </c>
      <c r="Z23" s="280">
        <f t="shared" si="0"/>
        <v>39956</v>
      </c>
      <c r="AA23" s="280">
        <f t="shared" si="1"/>
        <v>129308</v>
      </c>
      <c r="AC23" s="280">
        <f>VLOOKUP(A23,'OPEB Amounts_Report'!$A$10:$F$321,6,FALSE)</f>
        <v>39956</v>
      </c>
      <c r="AD23" s="281">
        <f t="shared" si="2"/>
        <v>0</v>
      </c>
    </row>
    <row r="24" spans="1:30">
      <c r="A24" s="64">
        <v>8347</v>
      </c>
      <c r="B24" s="65" t="s">
        <v>17</v>
      </c>
      <c r="C24" s="90">
        <f>VLOOKUP(A24,'Change in Proportion Calc'!$A$5:$P$316,12,FALSE)</f>
        <v>13363</v>
      </c>
      <c r="D24" s="90">
        <f>VLOOKUP(A24,'Change in Proportion Calc'!$A$5:$P$316,13,FALSE)</f>
        <v>13363</v>
      </c>
      <c r="E24" s="90">
        <f>VLOOKUP(A24,'Change in Proportion Calc'!$A$5:$P$316,13,FALSE)</f>
        <v>13363</v>
      </c>
      <c r="F24" s="90">
        <f>VLOOKUP(A24,'Change in Proportion Calc'!$A$5:$P$316,13,FALSE)</f>
        <v>13363</v>
      </c>
      <c r="G24" s="90">
        <f>VLOOKUP(A24,'Change in Proportion Calc'!$A$5:$P$316,16,FALSE)</f>
        <v>13097</v>
      </c>
      <c r="H24" s="255"/>
      <c r="I24" s="280">
        <v>-23957</v>
      </c>
      <c r="J24" s="280">
        <v>-23957</v>
      </c>
      <c r="K24" s="280">
        <v>-23957</v>
      </c>
      <c r="L24" s="280">
        <v>-23957</v>
      </c>
      <c r="M24" s="281">
        <v>-23480</v>
      </c>
      <c r="N24" s="65"/>
      <c r="O24" s="154">
        <v>1358</v>
      </c>
      <c r="P24" s="154">
        <v>1358</v>
      </c>
      <c r="Q24" s="154">
        <v>1358</v>
      </c>
      <c r="R24" s="155">
        <v>871</v>
      </c>
      <c r="T24" s="197">
        <v>12838</v>
      </c>
      <c r="U24" s="197">
        <v>12838</v>
      </c>
      <c r="V24" s="197">
        <v>9243</v>
      </c>
      <c r="X24" s="281">
        <f>VLOOKUP(A24,'Change in Proportion Calc'!$A$5:$H$316,8,FALSE)+I24+O24+T24</f>
        <v>3602</v>
      </c>
      <c r="Z24" s="280">
        <f t="shared" si="0"/>
        <v>92217</v>
      </c>
      <c r="AA24" s="280">
        <f t="shared" si="1"/>
        <v>95351</v>
      </c>
      <c r="AC24" s="280">
        <f>VLOOKUP(A24,'OPEB Amounts_Report'!$A$10:$F$321,6,FALSE)</f>
        <v>92217</v>
      </c>
      <c r="AD24" s="281">
        <f t="shared" si="2"/>
        <v>0</v>
      </c>
    </row>
    <row r="25" spans="1:30">
      <c r="A25" s="62">
        <v>2356</v>
      </c>
      <c r="B25" s="66" t="s">
        <v>18</v>
      </c>
      <c r="C25" s="90">
        <f>VLOOKUP(A25,'Change in Proportion Calc'!$A$5:$P$316,12,FALSE)</f>
        <v>1296</v>
      </c>
      <c r="D25" s="90">
        <f>VLOOKUP(A25,'Change in Proportion Calc'!$A$5:$P$316,13,FALSE)</f>
        <v>1296</v>
      </c>
      <c r="E25" s="90">
        <f>VLOOKUP(A25,'Change in Proportion Calc'!$A$5:$P$316,13,FALSE)</f>
        <v>1296</v>
      </c>
      <c r="F25" s="90">
        <f>VLOOKUP(A25,'Change in Proportion Calc'!$A$5:$P$316,13,FALSE)</f>
        <v>1296</v>
      </c>
      <c r="G25" s="90">
        <f>VLOOKUP(A25,'Change in Proportion Calc'!$A$5:$P$316,16,FALSE)</f>
        <v>1269</v>
      </c>
      <c r="H25" s="255"/>
      <c r="I25" s="280">
        <v>12279</v>
      </c>
      <c r="J25" s="280">
        <v>12279</v>
      </c>
      <c r="K25" s="280">
        <v>12279</v>
      </c>
      <c r="L25" s="280">
        <v>12279</v>
      </c>
      <c r="M25" s="281">
        <v>12035</v>
      </c>
      <c r="N25" s="65"/>
      <c r="O25" s="154">
        <v>83048</v>
      </c>
      <c r="P25" s="154">
        <v>83048</v>
      </c>
      <c r="Q25" s="154">
        <v>83048</v>
      </c>
      <c r="R25" s="155">
        <v>53153</v>
      </c>
      <c r="T25" s="197">
        <v>2334</v>
      </c>
      <c r="U25" s="197">
        <v>2334</v>
      </c>
      <c r="V25" s="197">
        <v>1681</v>
      </c>
      <c r="X25" s="281">
        <f>VLOOKUP(A25,'Change in Proportion Calc'!$A$5:$H$316,8,FALSE)+I25+O25+T25</f>
        <v>98957</v>
      </c>
      <c r="Z25" s="280">
        <f t="shared" si="0"/>
        <v>278589</v>
      </c>
      <c r="AA25" s="280">
        <f t="shared" si="1"/>
        <v>0</v>
      </c>
      <c r="AC25" s="280">
        <f>VLOOKUP(A25,'OPEB Amounts_Report'!$A$10:$F$321,6,FALSE)</f>
        <v>278589</v>
      </c>
      <c r="AD25" s="281">
        <f t="shared" si="2"/>
        <v>0</v>
      </c>
    </row>
    <row r="26" spans="1:30">
      <c r="A26" s="64">
        <v>7335</v>
      </c>
      <c r="B26" s="65" t="s">
        <v>19</v>
      </c>
      <c r="C26" s="90">
        <f>VLOOKUP(A26,'Change in Proportion Calc'!$A$5:$P$316,12,FALSE)</f>
        <v>-10610</v>
      </c>
      <c r="D26" s="90">
        <f>VLOOKUP(A26,'Change in Proportion Calc'!$A$5:$P$316,13,FALSE)</f>
        <v>-10610</v>
      </c>
      <c r="E26" s="90">
        <f>VLOOKUP(A26,'Change in Proportion Calc'!$A$5:$P$316,13,FALSE)</f>
        <v>-10610</v>
      </c>
      <c r="F26" s="90">
        <f>VLOOKUP(A26,'Change in Proportion Calc'!$A$5:$P$316,13,FALSE)</f>
        <v>-10610</v>
      </c>
      <c r="G26" s="90">
        <f>VLOOKUP(A26,'Change in Proportion Calc'!$A$5:$P$316,16,FALSE)</f>
        <v>-10396</v>
      </c>
      <c r="H26" s="255"/>
      <c r="I26" s="280">
        <v>-9961</v>
      </c>
      <c r="J26" s="280">
        <v>-9961</v>
      </c>
      <c r="K26" s="280">
        <v>-9961</v>
      </c>
      <c r="L26" s="280">
        <v>-9961</v>
      </c>
      <c r="M26" s="281">
        <v>-9761</v>
      </c>
      <c r="N26" s="65"/>
      <c r="O26" s="154">
        <v>4754</v>
      </c>
      <c r="P26" s="154">
        <v>4754</v>
      </c>
      <c r="Q26" s="154">
        <v>4754</v>
      </c>
      <c r="R26" s="155">
        <v>3042</v>
      </c>
      <c r="T26" s="197">
        <v>10990</v>
      </c>
      <c r="U26" s="197">
        <v>10990</v>
      </c>
      <c r="V26" s="197">
        <v>7913</v>
      </c>
      <c r="X26" s="281">
        <f>VLOOKUP(A26,'Change in Proportion Calc'!$A$5:$H$316,8,FALSE)+I26+O26+T26</f>
        <v>-4827</v>
      </c>
      <c r="Z26" s="280">
        <f t="shared" si="0"/>
        <v>31453</v>
      </c>
      <c r="AA26" s="280">
        <f t="shared" si="1"/>
        <v>92480</v>
      </c>
      <c r="AC26" s="280">
        <f>VLOOKUP(A26,'OPEB Amounts_Report'!$A$10:$F$321,6,FALSE)</f>
        <v>31453</v>
      </c>
      <c r="AD26" s="281">
        <f t="shared" si="2"/>
        <v>0</v>
      </c>
    </row>
    <row r="27" spans="1:30">
      <c r="A27" s="62">
        <v>575</v>
      </c>
      <c r="B27" s="66" t="s">
        <v>411</v>
      </c>
      <c r="C27" s="90">
        <f>VLOOKUP(A27,'Change in Proportion Calc'!$A$5:$P$316,12,FALSE)</f>
        <v>46650</v>
      </c>
      <c r="D27" s="90">
        <f>VLOOKUP(A27,'Change in Proportion Calc'!$A$5:$P$316,13,FALSE)</f>
        <v>46650</v>
      </c>
      <c r="E27" s="90">
        <f>VLOOKUP(A27,'Change in Proportion Calc'!$A$5:$P$316,13,FALSE)</f>
        <v>46650</v>
      </c>
      <c r="F27" s="90">
        <f>VLOOKUP(A27,'Change in Proportion Calc'!$A$5:$P$316,13,FALSE)</f>
        <v>46650</v>
      </c>
      <c r="G27" s="90">
        <f>VLOOKUP(A27,'Change in Proportion Calc'!$A$5:$P$316,16,FALSE)</f>
        <v>45717</v>
      </c>
      <c r="H27" s="255"/>
      <c r="I27" s="280">
        <v>20093</v>
      </c>
      <c r="J27" s="280">
        <v>20093</v>
      </c>
      <c r="K27" s="280">
        <v>20093</v>
      </c>
      <c r="L27" s="280">
        <v>20093</v>
      </c>
      <c r="M27" s="281">
        <v>19693</v>
      </c>
      <c r="N27" s="65"/>
      <c r="O27" s="154">
        <v>92169</v>
      </c>
      <c r="P27" s="154">
        <v>92169</v>
      </c>
      <c r="Q27" s="154">
        <v>92169</v>
      </c>
      <c r="R27" s="155">
        <v>58986</v>
      </c>
      <c r="T27" s="197">
        <v>0</v>
      </c>
      <c r="U27" s="197">
        <v>0</v>
      </c>
      <c r="V27" s="197">
        <v>0</v>
      </c>
      <c r="X27" s="281">
        <f>VLOOKUP(A27,'Change in Proportion Calc'!$A$5:$H$316,8,FALSE)+I27+O27+T27</f>
        <v>158912</v>
      </c>
      <c r="Z27" s="280">
        <f t="shared" si="0"/>
        <v>555613</v>
      </c>
      <c r="AA27" s="280">
        <f t="shared" si="1"/>
        <v>0</v>
      </c>
      <c r="AC27" s="280">
        <f>VLOOKUP(A27,'OPEB Amounts_Report'!$A$10:$F$321,6,FALSE)</f>
        <v>555613</v>
      </c>
      <c r="AD27" s="281">
        <f t="shared" si="2"/>
        <v>0</v>
      </c>
    </row>
    <row r="28" spans="1:30">
      <c r="A28" s="64">
        <v>2303</v>
      </c>
      <c r="B28" s="65" t="s">
        <v>20</v>
      </c>
      <c r="C28" s="90">
        <f>VLOOKUP(A28,'Change in Proportion Calc'!$A$5:$P$316,12,FALSE)</f>
        <v>-13930</v>
      </c>
      <c r="D28" s="90">
        <f>VLOOKUP(A28,'Change in Proportion Calc'!$A$5:$P$316,13,FALSE)</f>
        <v>-13930</v>
      </c>
      <c r="E28" s="90">
        <f>VLOOKUP(A28,'Change in Proportion Calc'!$A$5:$P$316,13,FALSE)</f>
        <v>-13930</v>
      </c>
      <c r="F28" s="90">
        <f>VLOOKUP(A28,'Change in Proportion Calc'!$A$5:$P$316,13,FALSE)</f>
        <v>-13930</v>
      </c>
      <c r="G28" s="90">
        <f>VLOOKUP(A28,'Change in Proportion Calc'!$A$5:$P$316,16,FALSE)</f>
        <v>-13653</v>
      </c>
      <c r="H28" s="255"/>
      <c r="I28" s="280">
        <v>-20952</v>
      </c>
      <c r="J28" s="280">
        <v>-20952</v>
      </c>
      <c r="K28" s="280">
        <v>-20952</v>
      </c>
      <c r="L28" s="280">
        <v>-20952</v>
      </c>
      <c r="M28" s="281">
        <v>-20533</v>
      </c>
      <c r="N28" s="65"/>
      <c r="O28" s="154">
        <v>-41427</v>
      </c>
      <c r="P28" s="154">
        <v>-41427</v>
      </c>
      <c r="Q28" s="154">
        <v>-41427</v>
      </c>
      <c r="R28" s="155">
        <v>-26515</v>
      </c>
      <c r="T28" s="197">
        <v>-2626</v>
      </c>
      <c r="U28" s="197">
        <v>-2626</v>
      </c>
      <c r="V28" s="197">
        <v>-1890</v>
      </c>
      <c r="X28" s="281">
        <f>VLOOKUP(A28,'Change in Proportion Calc'!$A$5:$H$316,8,FALSE)+I28+O28+T28</f>
        <v>-78935</v>
      </c>
      <c r="Z28" s="280">
        <f t="shared" si="0"/>
        <v>0</v>
      </c>
      <c r="AA28" s="280">
        <f t="shared" si="1"/>
        <v>266647</v>
      </c>
      <c r="AC28" s="280">
        <f>VLOOKUP(A28,'OPEB Amounts_Report'!$A$10:$F$321,6,FALSE)</f>
        <v>0</v>
      </c>
      <c r="AD28" s="281">
        <f t="shared" si="2"/>
        <v>0</v>
      </c>
    </row>
    <row r="29" spans="1:30">
      <c r="A29" s="62">
        <v>20316</v>
      </c>
      <c r="B29" s="66" t="s">
        <v>21</v>
      </c>
      <c r="C29" s="90">
        <f>VLOOKUP(A29,'Change in Proportion Calc'!$A$5:$P$316,12,FALSE)</f>
        <v>13930</v>
      </c>
      <c r="D29" s="90">
        <f>VLOOKUP(A29,'Change in Proportion Calc'!$A$5:$P$316,13,FALSE)</f>
        <v>13930</v>
      </c>
      <c r="E29" s="90">
        <f>VLOOKUP(A29,'Change in Proportion Calc'!$A$5:$P$316,13,FALSE)</f>
        <v>13930</v>
      </c>
      <c r="F29" s="90">
        <f>VLOOKUP(A29,'Change in Proportion Calc'!$A$5:$P$316,13,FALSE)</f>
        <v>13930</v>
      </c>
      <c r="G29" s="90">
        <f>VLOOKUP(A29,'Change in Proportion Calc'!$A$5:$P$316,16,FALSE)</f>
        <v>13653</v>
      </c>
      <c r="H29" s="255"/>
      <c r="I29" s="280">
        <v>2318</v>
      </c>
      <c r="J29" s="280">
        <v>2318</v>
      </c>
      <c r="K29" s="280">
        <v>2318</v>
      </c>
      <c r="L29" s="280">
        <v>2318</v>
      </c>
      <c r="M29" s="281">
        <v>2274</v>
      </c>
      <c r="N29" s="65"/>
      <c r="O29" s="154">
        <v>679</v>
      </c>
      <c r="P29" s="154">
        <v>679</v>
      </c>
      <c r="Q29" s="154">
        <v>679</v>
      </c>
      <c r="R29" s="155">
        <v>435</v>
      </c>
      <c r="T29" s="197">
        <v>2237</v>
      </c>
      <c r="U29" s="197">
        <v>2237</v>
      </c>
      <c r="V29" s="197">
        <v>1610</v>
      </c>
      <c r="X29" s="281">
        <f>VLOOKUP(A29,'Change in Proportion Calc'!$A$5:$H$316,8,FALSE)+I29+O29+T29</f>
        <v>19164</v>
      </c>
      <c r="Z29" s="280">
        <f t="shared" si="0"/>
        <v>84241</v>
      </c>
      <c r="AA29" s="280">
        <f t="shared" si="1"/>
        <v>0</v>
      </c>
      <c r="AC29" s="280">
        <f>VLOOKUP(A29,'OPEB Amounts_Report'!$A$10:$F$321,6,FALSE)</f>
        <v>84241</v>
      </c>
      <c r="AD29" s="281">
        <f t="shared" si="2"/>
        <v>0</v>
      </c>
    </row>
    <row r="30" spans="1:30">
      <c r="A30" s="64">
        <v>23121</v>
      </c>
      <c r="B30" s="65" t="s">
        <v>22</v>
      </c>
      <c r="C30" s="90">
        <f>VLOOKUP(A30,'Change in Proportion Calc'!$A$5:$P$316,12,FALSE)</f>
        <v>-18870</v>
      </c>
      <c r="D30" s="90">
        <f>VLOOKUP(A30,'Change in Proportion Calc'!$A$5:$P$316,13,FALSE)</f>
        <v>-18870</v>
      </c>
      <c r="E30" s="90">
        <f>VLOOKUP(A30,'Change in Proportion Calc'!$A$5:$P$316,13,FALSE)</f>
        <v>-18870</v>
      </c>
      <c r="F30" s="90">
        <f>VLOOKUP(A30,'Change in Proportion Calc'!$A$5:$P$316,13,FALSE)</f>
        <v>-18870</v>
      </c>
      <c r="G30" s="90">
        <f>VLOOKUP(A30,'Change in Proportion Calc'!$A$5:$P$316,16,FALSE)</f>
        <v>-18495</v>
      </c>
      <c r="H30" s="255"/>
      <c r="I30" s="280">
        <v>-11077</v>
      </c>
      <c r="J30" s="280">
        <v>-11077</v>
      </c>
      <c r="K30" s="280">
        <v>-11077</v>
      </c>
      <c r="L30" s="280">
        <v>-11077</v>
      </c>
      <c r="M30" s="281">
        <v>-10856</v>
      </c>
      <c r="N30" s="65"/>
      <c r="O30" s="154">
        <v>-23382</v>
      </c>
      <c r="P30" s="154">
        <v>-23382</v>
      </c>
      <c r="Q30" s="154">
        <v>-23382</v>
      </c>
      <c r="R30" s="155">
        <v>-14963</v>
      </c>
      <c r="T30" s="197">
        <v>-6808</v>
      </c>
      <c r="U30" s="197">
        <v>-6808</v>
      </c>
      <c r="V30" s="197">
        <v>-4901</v>
      </c>
      <c r="X30" s="281">
        <f>VLOOKUP(A30,'Change in Proportion Calc'!$A$5:$H$316,8,FALSE)+I30+O30+T30</f>
        <v>-60138</v>
      </c>
      <c r="Z30" s="280">
        <f t="shared" si="0"/>
        <v>0</v>
      </c>
      <c r="AA30" s="280">
        <f t="shared" si="1"/>
        <v>211498</v>
      </c>
      <c r="AC30" s="280">
        <f>VLOOKUP(A30,'OPEB Amounts_Report'!$A$10:$F$321,6,FALSE)</f>
        <v>0</v>
      </c>
      <c r="AD30" s="281">
        <f t="shared" si="2"/>
        <v>0</v>
      </c>
    </row>
    <row r="31" spans="1:30">
      <c r="A31" s="62">
        <v>3004</v>
      </c>
      <c r="B31" s="66" t="s">
        <v>23</v>
      </c>
      <c r="C31" s="90">
        <f>VLOOKUP(A31,'Change in Proportion Calc'!$A$5:$P$316,12,FALSE)</f>
        <v>89332</v>
      </c>
      <c r="D31" s="90">
        <f>VLOOKUP(A31,'Change in Proportion Calc'!$A$5:$P$316,13,FALSE)</f>
        <v>89332</v>
      </c>
      <c r="E31" s="90">
        <f>VLOOKUP(A31,'Change in Proportion Calc'!$A$5:$P$316,13,FALSE)</f>
        <v>89332</v>
      </c>
      <c r="F31" s="90">
        <f>VLOOKUP(A31,'Change in Proportion Calc'!$A$5:$P$316,13,FALSE)</f>
        <v>89332</v>
      </c>
      <c r="G31" s="90">
        <f>VLOOKUP(A31,'Change in Proportion Calc'!$A$5:$P$316,16,FALSE)</f>
        <v>87543</v>
      </c>
      <c r="H31" s="255"/>
      <c r="I31" s="280">
        <v>-62942</v>
      </c>
      <c r="J31" s="280">
        <v>-62942</v>
      </c>
      <c r="K31" s="280">
        <v>-62942</v>
      </c>
      <c r="L31" s="280">
        <v>-62942</v>
      </c>
      <c r="M31" s="281">
        <v>-61683</v>
      </c>
      <c r="N31" s="65"/>
      <c r="O31" s="154">
        <v>-40554</v>
      </c>
      <c r="P31" s="154">
        <v>-40554</v>
      </c>
      <c r="Q31" s="154">
        <v>-40554</v>
      </c>
      <c r="R31" s="155">
        <v>-25955</v>
      </c>
      <c r="T31" s="197">
        <v>54658</v>
      </c>
      <c r="U31" s="197">
        <v>54658</v>
      </c>
      <c r="V31" s="197">
        <v>39355</v>
      </c>
      <c r="X31" s="281">
        <f>VLOOKUP(A31,'Change in Proportion Calc'!$A$5:$H$316,8,FALSE)+I31+O31+T31</f>
        <v>40493</v>
      </c>
      <c r="Z31" s="280">
        <f t="shared" si="0"/>
        <v>538884</v>
      </c>
      <c r="AA31" s="280">
        <f t="shared" si="1"/>
        <v>357572</v>
      </c>
      <c r="AC31" s="280">
        <f>VLOOKUP(A31,'OPEB Amounts_Report'!$A$10:$F$321,6,FALSE)</f>
        <v>538884</v>
      </c>
      <c r="AD31" s="281">
        <f t="shared" si="2"/>
        <v>0</v>
      </c>
    </row>
    <row r="32" spans="1:30">
      <c r="A32" s="64">
        <v>16050</v>
      </c>
      <c r="B32" s="65" t="s">
        <v>24</v>
      </c>
      <c r="C32" s="90">
        <f>VLOOKUP(A32,'Change in Proportion Calc'!$A$5:$P$316,12,FALSE)</f>
        <v>59041</v>
      </c>
      <c r="D32" s="90">
        <f>VLOOKUP(A32,'Change in Proportion Calc'!$A$5:$P$316,13,FALSE)</f>
        <v>59041</v>
      </c>
      <c r="E32" s="90">
        <f>VLOOKUP(A32,'Change in Proportion Calc'!$A$5:$P$316,13,FALSE)</f>
        <v>59041</v>
      </c>
      <c r="F32" s="90">
        <f>VLOOKUP(A32,'Change in Proportion Calc'!$A$5:$P$316,13,FALSE)</f>
        <v>59041</v>
      </c>
      <c r="G32" s="90">
        <f>VLOOKUP(A32,'Change in Proportion Calc'!$A$5:$P$316,16,FALSE)</f>
        <v>57862</v>
      </c>
      <c r="H32" s="255"/>
      <c r="I32" s="280">
        <v>24730</v>
      </c>
      <c r="J32" s="280">
        <v>24730</v>
      </c>
      <c r="K32" s="280">
        <v>24730</v>
      </c>
      <c r="L32" s="280">
        <v>24730</v>
      </c>
      <c r="M32" s="281">
        <v>24237</v>
      </c>
      <c r="N32" s="65"/>
      <c r="O32" s="154">
        <v>-62966</v>
      </c>
      <c r="P32" s="154">
        <v>-62966</v>
      </c>
      <c r="Q32" s="154">
        <v>-62966</v>
      </c>
      <c r="R32" s="155">
        <v>-40296</v>
      </c>
      <c r="T32" s="197">
        <v>-122640</v>
      </c>
      <c r="U32" s="197">
        <v>-122640</v>
      </c>
      <c r="V32" s="197">
        <v>-88303</v>
      </c>
      <c r="X32" s="281">
        <f>VLOOKUP(A32,'Change in Proportion Calc'!$A$5:$H$316,8,FALSE)+I32+O32+T32</f>
        <v>-101835</v>
      </c>
      <c r="Z32" s="280">
        <f t="shared" si="0"/>
        <v>392453</v>
      </c>
      <c r="AA32" s="280">
        <f t="shared" si="1"/>
        <v>377171</v>
      </c>
      <c r="AC32" s="280">
        <f>VLOOKUP(A32,'OPEB Amounts_Report'!$A$10:$F$321,6,FALSE)</f>
        <v>392453</v>
      </c>
      <c r="AD32" s="281">
        <f t="shared" si="2"/>
        <v>0</v>
      </c>
    </row>
    <row r="33" spans="1:30">
      <c r="A33" s="62">
        <v>14043</v>
      </c>
      <c r="B33" s="66" t="s">
        <v>25</v>
      </c>
      <c r="C33" s="90">
        <f>VLOOKUP(A33,'Change in Proportion Calc'!$A$5:$P$316,12,FALSE)</f>
        <v>-96863</v>
      </c>
      <c r="D33" s="90">
        <f>VLOOKUP(A33,'Change in Proportion Calc'!$A$5:$P$316,13,FALSE)</f>
        <v>-96863</v>
      </c>
      <c r="E33" s="90">
        <f>VLOOKUP(A33,'Change in Proportion Calc'!$A$5:$P$316,13,FALSE)</f>
        <v>-96863</v>
      </c>
      <c r="F33" s="90">
        <f>VLOOKUP(A33,'Change in Proportion Calc'!$A$5:$P$316,13,FALSE)</f>
        <v>-96863</v>
      </c>
      <c r="G33" s="90">
        <f>VLOOKUP(A33,'Change in Proportion Calc'!$A$5:$P$316,16,FALSE)</f>
        <v>-94928</v>
      </c>
      <c r="H33" s="255"/>
      <c r="I33" s="280">
        <v>-380143</v>
      </c>
      <c r="J33" s="280">
        <v>-380143</v>
      </c>
      <c r="K33" s="280">
        <v>-380143</v>
      </c>
      <c r="L33" s="280">
        <v>-380143</v>
      </c>
      <c r="M33" s="281">
        <v>-372538</v>
      </c>
      <c r="N33" s="65"/>
      <c r="O33" s="154">
        <v>707756</v>
      </c>
      <c r="P33" s="154">
        <v>707756</v>
      </c>
      <c r="Q33" s="154">
        <v>707756</v>
      </c>
      <c r="R33" s="155">
        <v>452964</v>
      </c>
      <c r="T33" s="197">
        <v>-443879</v>
      </c>
      <c r="U33" s="197">
        <v>-443879</v>
      </c>
      <c r="V33" s="197">
        <v>-319591</v>
      </c>
      <c r="X33" s="281">
        <f>VLOOKUP(A33,'Change in Proportion Calc'!$A$5:$H$316,8,FALSE)+I33+O33+T33</f>
        <v>-213129</v>
      </c>
      <c r="Z33" s="280">
        <f t="shared" si="0"/>
        <v>1868476</v>
      </c>
      <c r="AA33" s="280">
        <f t="shared" si="1"/>
        <v>2758817</v>
      </c>
      <c r="AC33" s="280">
        <f>VLOOKUP(A33,'OPEB Amounts_Report'!$A$10:$F$321,6,FALSE)</f>
        <v>1868476</v>
      </c>
      <c r="AD33" s="281">
        <f t="shared" si="2"/>
        <v>0</v>
      </c>
    </row>
    <row r="34" spans="1:30">
      <c r="A34" s="64">
        <v>3010</v>
      </c>
      <c r="B34" s="65" t="s">
        <v>26</v>
      </c>
      <c r="C34" s="90">
        <f>VLOOKUP(A34,'Change in Proportion Calc'!$A$5:$P$316,12,FALSE)</f>
        <v>312700</v>
      </c>
      <c r="D34" s="90">
        <f>VLOOKUP(A34,'Change in Proportion Calc'!$A$5:$P$316,13,FALSE)</f>
        <v>312700</v>
      </c>
      <c r="E34" s="90">
        <f>VLOOKUP(A34,'Change in Proportion Calc'!$A$5:$P$316,13,FALSE)</f>
        <v>312700</v>
      </c>
      <c r="F34" s="90">
        <f>VLOOKUP(A34,'Change in Proportion Calc'!$A$5:$P$316,13,FALSE)</f>
        <v>312700</v>
      </c>
      <c r="G34" s="90">
        <f>VLOOKUP(A34,'Change in Proportion Calc'!$A$5:$P$316,16,FALSE)</f>
        <v>306448</v>
      </c>
      <c r="H34" s="255"/>
      <c r="I34" s="280">
        <v>-766210</v>
      </c>
      <c r="J34" s="280">
        <v>-766210</v>
      </c>
      <c r="K34" s="280">
        <v>-766210</v>
      </c>
      <c r="L34" s="280">
        <v>-766210</v>
      </c>
      <c r="M34" s="281">
        <v>-750885</v>
      </c>
      <c r="N34" s="65"/>
      <c r="O34" s="154">
        <v>656142</v>
      </c>
      <c r="P34" s="154">
        <v>656142</v>
      </c>
      <c r="Q34" s="154">
        <v>656142</v>
      </c>
      <c r="R34" s="155">
        <v>419929</v>
      </c>
      <c r="T34" s="197">
        <v>130907</v>
      </c>
      <c r="U34" s="197">
        <v>130907</v>
      </c>
      <c r="V34" s="197">
        <v>94254</v>
      </c>
      <c r="X34" s="281">
        <f>VLOOKUP(A34,'Change in Proportion Calc'!$A$5:$H$316,8,FALSE)+I34+O34+T34</f>
        <v>333539</v>
      </c>
      <c r="Z34" s="280">
        <f t="shared" si="0"/>
        <v>3514622</v>
      </c>
      <c r="AA34" s="280">
        <f t="shared" si="1"/>
        <v>3049515</v>
      </c>
      <c r="AC34" s="280">
        <f>VLOOKUP(A34,'OPEB Amounts_Report'!$A$10:$F$321,6,FALSE)</f>
        <v>3514622</v>
      </c>
      <c r="AD34" s="281">
        <f t="shared" si="2"/>
        <v>0</v>
      </c>
    </row>
    <row r="35" spans="1:30">
      <c r="A35" s="62">
        <v>29086</v>
      </c>
      <c r="B35" s="66" t="s">
        <v>27</v>
      </c>
      <c r="C35" s="90">
        <f>VLOOKUP(A35,'Change in Proportion Calc'!$A$5:$P$316,12,FALSE)</f>
        <v>-159387</v>
      </c>
      <c r="D35" s="90">
        <f>VLOOKUP(A35,'Change in Proportion Calc'!$A$5:$P$316,13,FALSE)</f>
        <v>-159387</v>
      </c>
      <c r="E35" s="90">
        <f>VLOOKUP(A35,'Change in Proportion Calc'!$A$5:$P$316,13,FALSE)</f>
        <v>-159387</v>
      </c>
      <c r="F35" s="90">
        <f>VLOOKUP(A35,'Change in Proportion Calc'!$A$5:$P$316,13,FALSE)</f>
        <v>-159387</v>
      </c>
      <c r="G35" s="90">
        <f>VLOOKUP(A35,'Change in Proportion Calc'!$A$5:$P$316,16,FALSE)</f>
        <v>-156201</v>
      </c>
      <c r="H35" s="255"/>
      <c r="I35" s="280">
        <v>65690</v>
      </c>
      <c r="J35" s="280">
        <v>65690</v>
      </c>
      <c r="K35" s="280">
        <v>65690</v>
      </c>
      <c r="L35" s="280">
        <v>65690</v>
      </c>
      <c r="M35" s="281">
        <v>64375</v>
      </c>
      <c r="N35" s="65"/>
      <c r="O35" s="154">
        <v>116714</v>
      </c>
      <c r="P35" s="154">
        <v>116714</v>
      </c>
      <c r="Q35" s="154">
        <v>116714</v>
      </c>
      <c r="R35" s="155">
        <v>74698</v>
      </c>
      <c r="T35" s="197">
        <v>-197042</v>
      </c>
      <c r="U35" s="197">
        <v>-197042</v>
      </c>
      <c r="V35" s="197">
        <v>-141868</v>
      </c>
      <c r="X35" s="281">
        <f>VLOOKUP(A35,'Change in Proportion Calc'!$A$5:$H$316,8,FALSE)+I35+O35+T35</f>
        <v>-174025</v>
      </c>
      <c r="Z35" s="280">
        <f t="shared" si="0"/>
        <v>569571</v>
      </c>
      <c r="AA35" s="280">
        <f t="shared" si="1"/>
        <v>1132659</v>
      </c>
      <c r="AC35" s="280">
        <f>VLOOKUP(A35,'OPEB Amounts_Report'!$A$10:$F$321,6,FALSE)</f>
        <v>569571</v>
      </c>
      <c r="AD35" s="281">
        <f t="shared" si="2"/>
        <v>0</v>
      </c>
    </row>
    <row r="36" spans="1:30">
      <c r="A36" s="64">
        <v>16051</v>
      </c>
      <c r="B36" s="65" t="s">
        <v>28</v>
      </c>
      <c r="C36" s="90">
        <f>VLOOKUP(A36,'Change in Proportion Calc'!$A$5:$P$316,12,FALSE)</f>
        <v>4536</v>
      </c>
      <c r="D36" s="90">
        <f>VLOOKUP(A36,'Change in Proportion Calc'!$A$5:$P$316,13,FALSE)</f>
        <v>4536</v>
      </c>
      <c r="E36" s="90">
        <f>VLOOKUP(A36,'Change in Proportion Calc'!$A$5:$P$316,13,FALSE)</f>
        <v>4536</v>
      </c>
      <c r="F36" s="90">
        <f>VLOOKUP(A36,'Change in Proportion Calc'!$A$5:$P$316,13,FALSE)</f>
        <v>4536</v>
      </c>
      <c r="G36" s="90">
        <f>VLOOKUP(A36,'Change in Proportion Calc'!$A$5:$P$316,16,FALSE)</f>
        <v>4443</v>
      </c>
      <c r="H36" s="255"/>
      <c r="I36" s="280">
        <v>83465</v>
      </c>
      <c r="J36" s="280">
        <v>83465</v>
      </c>
      <c r="K36" s="280">
        <v>83465</v>
      </c>
      <c r="L36" s="280">
        <v>83465</v>
      </c>
      <c r="M36" s="281">
        <v>81794</v>
      </c>
      <c r="N36" s="65"/>
      <c r="O36" s="154">
        <v>8150</v>
      </c>
      <c r="P36" s="154">
        <v>8150</v>
      </c>
      <c r="Q36" s="154">
        <v>8150</v>
      </c>
      <c r="R36" s="155">
        <v>5214</v>
      </c>
      <c r="T36" s="197">
        <v>32484</v>
      </c>
      <c r="U36" s="197">
        <v>32484</v>
      </c>
      <c r="V36" s="197">
        <v>23387</v>
      </c>
      <c r="X36" s="281">
        <f>VLOOKUP(A36,'Change in Proportion Calc'!$A$5:$H$316,8,FALSE)+I36+O36+T36</f>
        <v>128634</v>
      </c>
      <c r="Z36" s="280">
        <f t="shared" si="0"/>
        <v>432161</v>
      </c>
      <c r="AA36" s="280">
        <f t="shared" si="1"/>
        <v>0</v>
      </c>
      <c r="AC36" s="280">
        <f>VLOOKUP(A36,'OPEB Amounts_Report'!$A$10:$F$321,6,FALSE)</f>
        <v>432161</v>
      </c>
      <c r="AD36" s="281">
        <f t="shared" si="2"/>
        <v>0</v>
      </c>
    </row>
    <row r="37" spans="1:30">
      <c r="A37" s="62">
        <v>26077</v>
      </c>
      <c r="B37" s="66" t="s">
        <v>29</v>
      </c>
      <c r="C37" s="90">
        <f>VLOOKUP(A37,'Change in Proportion Calc'!$A$5:$P$316,12,FALSE)</f>
        <v>-12877</v>
      </c>
      <c r="D37" s="90">
        <f>VLOOKUP(A37,'Change in Proportion Calc'!$A$5:$P$316,13,FALSE)</f>
        <v>-12877</v>
      </c>
      <c r="E37" s="90">
        <f>VLOOKUP(A37,'Change in Proportion Calc'!$A$5:$P$316,13,FALSE)</f>
        <v>-12877</v>
      </c>
      <c r="F37" s="90">
        <f>VLOOKUP(A37,'Change in Proportion Calc'!$A$5:$P$316,13,FALSE)</f>
        <v>-12877</v>
      </c>
      <c r="G37" s="90">
        <f>VLOOKUP(A37,'Change in Proportion Calc'!$A$5:$P$316,16,FALSE)</f>
        <v>-12621</v>
      </c>
      <c r="H37" s="255"/>
      <c r="I37" s="280">
        <v>7986</v>
      </c>
      <c r="J37" s="280">
        <v>7986</v>
      </c>
      <c r="K37" s="280">
        <v>7986</v>
      </c>
      <c r="L37" s="280">
        <v>7986</v>
      </c>
      <c r="M37" s="281">
        <v>7825</v>
      </c>
      <c r="N37" s="65"/>
      <c r="O37" s="154">
        <v>3396</v>
      </c>
      <c r="P37" s="154">
        <v>3396</v>
      </c>
      <c r="Q37" s="154">
        <v>3396</v>
      </c>
      <c r="R37" s="155">
        <v>2172</v>
      </c>
      <c r="T37" s="197">
        <v>26259</v>
      </c>
      <c r="U37" s="197">
        <v>26259</v>
      </c>
      <c r="V37" s="197">
        <v>18908</v>
      </c>
      <c r="X37" s="281">
        <f>VLOOKUP(A37,'Change in Proportion Calc'!$A$5:$H$316,8,FALSE)+I37+O37+T37</f>
        <v>24764</v>
      </c>
      <c r="Z37" s="280">
        <f t="shared" si="0"/>
        <v>85914</v>
      </c>
      <c r="AA37" s="280">
        <f t="shared" si="1"/>
        <v>64129</v>
      </c>
      <c r="AC37" s="280">
        <f>VLOOKUP(A37,'OPEB Amounts_Report'!$A$10:$F$321,6,FALSE)</f>
        <v>85914</v>
      </c>
      <c r="AD37" s="281">
        <f t="shared" si="2"/>
        <v>0</v>
      </c>
    </row>
    <row r="38" spans="1:30">
      <c r="A38" s="64">
        <v>3005</v>
      </c>
      <c r="B38" s="65" t="s">
        <v>30</v>
      </c>
      <c r="C38" s="90">
        <f>VLOOKUP(A38,'Change in Proportion Calc'!$A$5:$P$316,12,FALSE)</f>
        <v>-140841</v>
      </c>
      <c r="D38" s="90">
        <f>VLOOKUP(A38,'Change in Proportion Calc'!$A$5:$P$316,13,FALSE)</f>
        <v>-140841</v>
      </c>
      <c r="E38" s="90">
        <f>VLOOKUP(A38,'Change in Proportion Calc'!$A$5:$P$316,13,FALSE)</f>
        <v>-140841</v>
      </c>
      <c r="F38" s="90">
        <f>VLOOKUP(A38,'Change in Proportion Calc'!$A$5:$P$316,13,FALSE)</f>
        <v>-140841</v>
      </c>
      <c r="G38" s="90">
        <f>VLOOKUP(A38,'Change in Proportion Calc'!$A$5:$P$316,16,FALSE)</f>
        <v>-138022</v>
      </c>
      <c r="H38" s="255"/>
      <c r="I38" s="280">
        <v>-489282</v>
      </c>
      <c r="J38" s="280">
        <v>-489282</v>
      </c>
      <c r="K38" s="280">
        <v>-489282</v>
      </c>
      <c r="L38" s="280">
        <v>-489282</v>
      </c>
      <c r="M38" s="281">
        <v>-479496</v>
      </c>
      <c r="N38" s="65"/>
      <c r="O38" s="154">
        <v>-60928</v>
      </c>
      <c r="P38" s="154">
        <v>-60928</v>
      </c>
      <c r="Q38" s="154">
        <v>-60928</v>
      </c>
      <c r="R38" s="155">
        <v>-38995</v>
      </c>
      <c r="T38" s="197">
        <v>68177</v>
      </c>
      <c r="U38" s="197">
        <v>68177</v>
      </c>
      <c r="V38" s="197">
        <v>49086</v>
      </c>
      <c r="X38" s="281">
        <f>VLOOKUP(A38,'Change in Proportion Calc'!$A$5:$H$316,8,FALSE)+I38+O38+T38</f>
        <v>-622874</v>
      </c>
      <c r="Z38" s="280">
        <f t="shared" si="0"/>
        <v>117263</v>
      </c>
      <c r="AA38" s="280">
        <f t="shared" si="1"/>
        <v>2809579</v>
      </c>
      <c r="AC38" s="280">
        <f>VLOOKUP(A38,'OPEB Amounts_Report'!$A$10:$F$321,6,FALSE)</f>
        <v>117263</v>
      </c>
      <c r="AD38" s="281">
        <f t="shared" si="2"/>
        <v>0</v>
      </c>
    </row>
    <row r="39" spans="1:30">
      <c r="A39" s="62">
        <v>26078</v>
      </c>
      <c r="B39" s="66" t="s">
        <v>31</v>
      </c>
      <c r="C39" s="90">
        <f>VLOOKUP(A39,'Change in Proportion Calc'!$A$5:$P$316,12,FALSE)</f>
        <v>-10529</v>
      </c>
      <c r="D39" s="90">
        <f>VLOOKUP(A39,'Change in Proportion Calc'!$A$5:$P$316,13,FALSE)</f>
        <v>-10529</v>
      </c>
      <c r="E39" s="90">
        <f>VLOOKUP(A39,'Change in Proportion Calc'!$A$5:$P$316,13,FALSE)</f>
        <v>-10529</v>
      </c>
      <c r="F39" s="90">
        <f>VLOOKUP(A39,'Change in Proportion Calc'!$A$5:$P$316,13,FALSE)</f>
        <v>-10529</v>
      </c>
      <c r="G39" s="90">
        <f>VLOOKUP(A39,'Change in Proportion Calc'!$A$5:$P$316,16,FALSE)</f>
        <v>-10316</v>
      </c>
      <c r="H39" s="255"/>
      <c r="I39" s="280">
        <v>16229</v>
      </c>
      <c r="J39" s="280">
        <v>16229</v>
      </c>
      <c r="K39" s="280">
        <v>16229</v>
      </c>
      <c r="L39" s="280">
        <v>16229</v>
      </c>
      <c r="M39" s="281">
        <v>15906</v>
      </c>
      <c r="N39" s="65"/>
      <c r="O39" s="154">
        <v>-7180</v>
      </c>
      <c r="P39" s="154">
        <v>-7180</v>
      </c>
      <c r="Q39" s="154">
        <v>-7180</v>
      </c>
      <c r="R39" s="155">
        <v>-4593</v>
      </c>
      <c r="T39" s="197">
        <v>10115</v>
      </c>
      <c r="U39" s="197">
        <v>10115</v>
      </c>
      <c r="V39" s="197">
        <v>7281</v>
      </c>
      <c r="X39" s="281">
        <f>VLOOKUP(A39,'Change in Proportion Calc'!$A$5:$H$316,8,FALSE)+I39+O39+T39</f>
        <v>8635</v>
      </c>
      <c r="Z39" s="280">
        <f t="shared" si="0"/>
        <v>81989</v>
      </c>
      <c r="AA39" s="280">
        <f t="shared" si="1"/>
        <v>71385</v>
      </c>
      <c r="AC39" s="280">
        <f>VLOOKUP(A39,'OPEB Amounts_Report'!$A$10:$F$321,6,FALSE)</f>
        <v>81989</v>
      </c>
      <c r="AD39" s="281">
        <f t="shared" si="2"/>
        <v>0</v>
      </c>
    </row>
    <row r="40" spans="1:30">
      <c r="A40" s="64">
        <v>16053</v>
      </c>
      <c r="B40" s="65" t="s">
        <v>32</v>
      </c>
      <c r="C40" s="90">
        <f>VLOOKUP(A40,'Change in Proportion Calc'!$A$5:$P$316,12,FALSE)</f>
        <v>326954</v>
      </c>
      <c r="D40" s="90">
        <f>VLOOKUP(A40,'Change in Proportion Calc'!$A$5:$P$316,13,FALSE)</f>
        <v>326954</v>
      </c>
      <c r="E40" s="90">
        <f>VLOOKUP(A40,'Change in Proportion Calc'!$A$5:$P$316,13,FALSE)</f>
        <v>326954</v>
      </c>
      <c r="F40" s="90">
        <f>VLOOKUP(A40,'Change in Proportion Calc'!$A$5:$P$316,13,FALSE)</f>
        <v>326954</v>
      </c>
      <c r="G40" s="90">
        <f>VLOOKUP(A40,'Change in Proportion Calc'!$A$5:$P$316,16,FALSE)</f>
        <v>320417</v>
      </c>
      <c r="H40" s="255"/>
      <c r="I40" s="280">
        <v>-181527</v>
      </c>
      <c r="J40" s="280">
        <v>-181527</v>
      </c>
      <c r="K40" s="280">
        <v>-181527</v>
      </c>
      <c r="L40" s="280">
        <v>-181527</v>
      </c>
      <c r="M40" s="281">
        <v>-177898</v>
      </c>
      <c r="N40" s="65"/>
      <c r="O40" s="154">
        <v>32598</v>
      </c>
      <c r="P40" s="154">
        <v>32598</v>
      </c>
      <c r="Q40" s="154">
        <v>32598</v>
      </c>
      <c r="R40" s="155">
        <v>20865</v>
      </c>
      <c r="T40" s="197">
        <v>-264927</v>
      </c>
      <c r="U40" s="197">
        <v>-264927</v>
      </c>
      <c r="V40" s="197">
        <v>-190746</v>
      </c>
      <c r="X40" s="281">
        <f>VLOOKUP(A40,'Change in Proportion Calc'!$A$5:$H$316,8,FALSE)+I40+O40+T40</f>
        <v>-86901</v>
      </c>
      <c r="Z40" s="280">
        <f t="shared" si="0"/>
        <v>1714294</v>
      </c>
      <c r="AA40" s="280">
        <f t="shared" si="1"/>
        <v>1178152</v>
      </c>
      <c r="AC40" s="280">
        <f>VLOOKUP(A40,'OPEB Amounts_Report'!$A$10:$F$321,6,FALSE)</f>
        <v>1714294</v>
      </c>
      <c r="AD40" s="281">
        <f t="shared" si="2"/>
        <v>0</v>
      </c>
    </row>
    <row r="41" spans="1:30">
      <c r="A41" s="62">
        <v>2123</v>
      </c>
      <c r="B41" s="66" t="s">
        <v>33</v>
      </c>
      <c r="C41" s="90">
        <f>VLOOKUP(A41,'Change in Proportion Calc'!$A$5:$P$316,12,FALSE)</f>
        <v>-252363</v>
      </c>
      <c r="D41" s="90">
        <f>VLOOKUP(A41,'Change in Proportion Calc'!$A$5:$P$316,13,FALSE)</f>
        <v>-252363</v>
      </c>
      <c r="E41" s="90">
        <f>VLOOKUP(A41,'Change in Proportion Calc'!$A$5:$P$316,13,FALSE)</f>
        <v>-252363</v>
      </c>
      <c r="F41" s="90">
        <f>VLOOKUP(A41,'Change in Proportion Calc'!$A$5:$P$316,13,FALSE)</f>
        <v>-252363</v>
      </c>
      <c r="G41" s="90">
        <f>VLOOKUP(A41,'Change in Proportion Calc'!$A$5:$P$316,16,FALSE)</f>
        <v>-247317</v>
      </c>
      <c r="H41" s="255"/>
      <c r="I41" s="280">
        <v>749981</v>
      </c>
      <c r="J41" s="280">
        <v>749981</v>
      </c>
      <c r="K41" s="280">
        <v>749981</v>
      </c>
      <c r="L41" s="280">
        <v>749981</v>
      </c>
      <c r="M41" s="281">
        <v>734979</v>
      </c>
      <c r="N41" s="65"/>
      <c r="O41" s="154">
        <v>-2045944</v>
      </c>
      <c r="P41" s="154">
        <v>-2045944</v>
      </c>
      <c r="Q41" s="154">
        <v>-2045944</v>
      </c>
      <c r="R41" s="155">
        <v>-1309402</v>
      </c>
      <c r="T41" s="197">
        <v>940762</v>
      </c>
      <c r="U41" s="197">
        <v>940762</v>
      </c>
      <c r="V41" s="197">
        <v>677349</v>
      </c>
      <c r="X41" s="281">
        <f>VLOOKUP(A41,'Change in Proportion Calc'!$A$5:$H$316,8,FALSE)+I41+O41+T41</f>
        <v>-607564</v>
      </c>
      <c r="Z41" s="280">
        <f t="shared" si="0"/>
        <v>4603033</v>
      </c>
      <c r="AA41" s="280">
        <f t="shared" si="1"/>
        <v>6658059</v>
      </c>
      <c r="AC41" s="280">
        <f>VLOOKUP(A41,'OPEB Amounts_Report'!$A$10:$F$321,6,FALSE)</f>
        <v>4603033</v>
      </c>
      <c r="AD41" s="281">
        <f t="shared" si="2"/>
        <v>0</v>
      </c>
    </row>
    <row r="42" spans="1:30">
      <c r="A42" s="64">
        <v>2150</v>
      </c>
      <c r="B42" s="65" t="s">
        <v>34</v>
      </c>
      <c r="C42" s="90">
        <f>VLOOKUP(A42,'Change in Proportion Calc'!$A$5:$P$316,12,FALSE)</f>
        <v>184170</v>
      </c>
      <c r="D42" s="90">
        <f>VLOOKUP(A42,'Change in Proportion Calc'!$A$5:$P$316,13,FALSE)</f>
        <v>184170</v>
      </c>
      <c r="E42" s="90">
        <f>VLOOKUP(A42,'Change in Proportion Calc'!$A$5:$P$316,13,FALSE)</f>
        <v>184170</v>
      </c>
      <c r="F42" s="90">
        <f>VLOOKUP(A42,'Change in Proportion Calc'!$A$5:$P$316,13,FALSE)</f>
        <v>184170</v>
      </c>
      <c r="G42" s="90">
        <f>VLOOKUP(A42,'Change in Proportion Calc'!$A$5:$P$316,16,FALSE)</f>
        <v>180487</v>
      </c>
      <c r="H42" s="255"/>
      <c r="I42" s="280">
        <v>7299</v>
      </c>
      <c r="J42" s="280">
        <v>7299</v>
      </c>
      <c r="K42" s="280">
        <v>7299</v>
      </c>
      <c r="L42" s="280">
        <v>7299</v>
      </c>
      <c r="M42" s="281">
        <v>7152</v>
      </c>
      <c r="N42" s="65"/>
      <c r="O42" s="154">
        <v>5239</v>
      </c>
      <c r="P42" s="154">
        <v>5239</v>
      </c>
      <c r="Q42" s="154">
        <v>5239</v>
      </c>
      <c r="R42" s="155">
        <v>3353</v>
      </c>
      <c r="T42" s="197">
        <v>22077</v>
      </c>
      <c r="U42" s="197">
        <v>22077</v>
      </c>
      <c r="V42" s="197">
        <v>15897</v>
      </c>
      <c r="X42" s="281">
        <f>VLOOKUP(A42,'Change in Proportion Calc'!$A$5:$H$316,8,FALSE)+I42+O42+T42</f>
        <v>218785</v>
      </c>
      <c r="Z42" s="280">
        <f t="shared" si="0"/>
        <v>998021</v>
      </c>
      <c r="AA42" s="280">
        <f t="shared" si="1"/>
        <v>0</v>
      </c>
      <c r="AC42" s="280">
        <f>VLOOKUP(A42,'OPEB Amounts_Report'!$A$10:$F$321,6,FALSE)</f>
        <v>998021</v>
      </c>
      <c r="AD42" s="281">
        <f t="shared" si="2"/>
        <v>0</v>
      </c>
    </row>
    <row r="43" spans="1:30">
      <c r="A43" s="62">
        <v>2336</v>
      </c>
      <c r="B43" s="66" t="s">
        <v>35</v>
      </c>
      <c r="C43" s="90">
        <f>VLOOKUP(A43,'Change in Proportion Calc'!$A$5:$P$316,12,FALSE)</f>
        <v>-13039</v>
      </c>
      <c r="D43" s="90">
        <f>VLOOKUP(A43,'Change in Proportion Calc'!$A$5:$P$316,13,FALSE)</f>
        <v>-13039</v>
      </c>
      <c r="E43" s="90">
        <f>VLOOKUP(A43,'Change in Proportion Calc'!$A$5:$P$316,13,FALSE)</f>
        <v>-13039</v>
      </c>
      <c r="F43" s="90">
        <f>VLOOKUP(A43,'Change in Proportion Calc'!$A$5:$P$316,13,FALSE)</f>
        <v>-13039</v>
      </c>
      <c r="G43" s="90">
        <f>VLOOKUP(A43,'Change in Proportion Calc'!$A$5:$P$316,16,FALSE)</f>
        <v>-12780</v>
      </c>
      <c r="H43" s="255"/>
      <c r="I43" s="280">
        <v>7556</v>
      </c>
      <c r="J43" s="280">
        <v>7556</v>
      </c>
      <c r="K43" s="280">
        <v>7556</v>
      </c>
      <c r="L43" s="280">
        <v>7556</v>
      </c>
      <c r="M43" s="281">
        <v>7407</v>
      </c>
      <c r="N43" s="65"/>
      <c r="O43" s="154">
        <v>26874</v>
      </c>
      <c r="P43" s="154">
        <v>26874</v>
      </c>
      <c r="Q43" s="154">
        <v>26874</v>
      </c>
      <c r="R43" s="155">
        <v>17201</v>
      </c>
      <c r="T43" s="197">
        <v>681</v>
      </c>
      <c r="U43" s="197">
        <v>681</v>
      </c>
      <c r="V43" s="197">
        <v>489</v>
      </c>
      <c r="X43" s="281">
        <f>VLOOKUP(A43,'Change in Proportion Calc'!$A$5:$H$316,8,FALSE)+I43+O43+T43</f>
        <v>22072</v>
      </c>
      <c r="Z43" s="280">
        <f t="shared" si="0"/>
        <v>102194</v>
      </c>
      <c r="AA43" s="280">
        <f t="shared" si="1"/>
        <v>64936</v>
      </c>
      <c r="AC43" s="280">
        <f>VLOOKUP(A43,'OPEB Amounts_Report'!$A$10:$F$321,6,FALSE)</f>
        <v>102194</v>
      </c>
      <c r="AD43" s="281">
        <f t="shared" si="2"/>
        <v>0</v>
      </c>
    </row>
    <row r="44" spans="1:30">
      <c r="A44" s="64">
        <v>17126</v>
      </c>
      <c r="B44" s="65" t="s">
        <v>36</v>
      </c>
      <c r="C44" s="90">
        <f>VLOOKUP(A44,'Change in Proportion Calc'!$A$5:$P$316,12,FALSE)</f>
        <v>-28022</v>
      </c>
      <c r="D44" s="90">
        <f>VLOOKUP(A44,'Change in Proportion Calc'!$A$5:$P$316,13,FALSE)</f>
        <v>-28022</v>
      </c>
      <c r="E44" s="90">
        <f>VLOOKUP(A44,'Change in Proportion Calc'!$A$5:$P$316,13,FALSE)</f>
        <v>-28022</v>
      </c>
      <c r="F44" s="90">
        <f>VLOOKUP(A44,'Change in Proportion Calc'!$A$5:$P$316,13,FALSE)</f>
        <v>-28022</v>
      </c>
      <c r="G44" s="90">
        <f>VLOOKUP(A44,'Change in Proportion Calc'!$A$5:$P$316,16,FALSE)</f>
        <v>-27464</v>
      </c>
      <c r="H44" s="255"/>
      <c r="I44" s="280">
        <v>21725</v>
      </c>
      <c r="J44" s="280">
        <v>21725</v>
      </c>
      <c r="K44" s="280">
        <v>21725</v>
      </c>
      <c r="L44" s="280">
        <v>21725</v>
      </c>
      <c r="M44" s="281">
        <v>21290</v>
      </c>
      <c r="N44" s="65"/>
      <c r="O44" s="154">
        <v>-24352</v>
      </c>
      <c r="P44" s="154">
        <v>-24352</v>
      </c>
      <c r="Q44" s="154">
        <v>-24352</v>
      </c>
      <c r="R44" s="155">
        <v>-15584</v>
      </c>
      <c r="T44" s="197">
        <v>-30247</v>
      </c>
      <c r="U44" s="197">
        <v>-30247</v>
      </c>
      <c r="V44" s="197">
        <v>-21777</v>
      </c>
      <c r="X44" s="281">
        <f>VLOOKUP(A44,'Change in Proportion Calc'!$A$5:$H$316,8,FALSE)+I44+O44+T44</f>
        <v>-60896</v>
      </c>
      <c r="Z44" s="280">
        <f t="shared" si="0"/>
        <v>86465</v>
      </c>
      <c r="AA44" s="280">
        <f t="shared" si="1"/>
        <v>255864</v>
      </c>
      <c r="AC44" s="280">
        <f>VLOOKUP(A44,'OPEB Amounts_Report'!$A$10:$F$321,6,FALSE)</f>
        <v>86465</v>
      </c>
      <c r="AD44" s="281">
        <f t="shared" si="2"/>
        <v>0</v>
      </c>
    </row>
    <row r="45" spans="1:30">
      <c r="A45" s="62">
        <v>3030</v>
      </c>
      <c r="B45" s="66" t="s">
        <v>37</v>
      </c>
      <c r="C45" s="90">
        <f>VLOOKUP(A45,'Change in Proportion Calc'!$A$5:$P$316,12,FALSE)</f>
        <v>-89332</v>
      </c>
      <c r="D45" s="90">
        <f>VLOOKUP(A45,'Change in Proportion Calc'!$A$5:$P$316,13,FALSE)</f>
        <v>-89332</v>
      </c>
      <c r="E45" s="90">
        <f>VLOOKUP(A45,'Change in Proportion Calc'!$A$5:$P$316,13,FALSE)</f>
        <v>-89332</v>
      </c>
      <c r="F45" s="90">
        <f>VLOOKUP(A45,'Change in Proportion Calc'!$A$5:$P$316,13,FALSE)</f>
        <v>-89332</v>
      </c>
      <c r="G45" s="90">
        <f>VLOOKUP(A45,'Change in Proportion Calc'!$A$5:$P$316,16,FALSE)</f>
        <v>-87543</v>
      </c>
      <c r="H45" s="255"/>
      <c r="I45" s="280">
        <v>-65861</v>
      </c>
      <c r="J45" s="280">
        <v>-65861</v>
      </c>
      <c r="K45" s="280">
        <v>-65861</v>
      </c>
      <c r="L45" s="280">
        <v>-65861</v>
      </c>
      <c r="M45" s="281">
        <v>-64546</v>
      </c>
      <c r="N45" s="65"/>
      <c r="O45" s="154">
        <v>-39778</v>
      </c>
      <c r="P45" s="154">
        <v>-39778</v>
      </c>
      <c r="Q45" s="154">
        <v>-39778</v>
      </c>
      <c r="R45" s="155">
        <v>-25457</v>
      </c>
      <c r="T45" s="197">
        <v>-35401</v>
      </c>
      <c r="U45" s="197">
        <v>-35401</v>
      </c>
      <c r="V45" s="197">
        <v>-25491</v>
      </c>
      <c r="X45" s="281">
        <f>VLOOKUP(A45,'Change in Proportion Calc'!$A$5:$H$316,8,FALSE)+I45+O45+T45</f>
        <v>-230371</v>
      </c>
      <c r="Z45" s="280">
        <f t="shared" si="0"/>
        <v>0</v>
      </c>
      <c r="AA45" s="280">
        <f t="shared" si="1"/>
        <v>872905</v>
      </c>
      <c r="AC45" s="280">
        <f>VLOOKUP(A45,'OPEB Amounts_Report'!$A$10:$F$321,6,FALSE)</f>
        <v>0</v>
      </c>
      <c r="AD45" s="281">
        <f t="shared" si="2"/>
        <v>0</v>
      </c>
    </row>
    <row r="46" spans="1:30">
      <c r="A46" s="64">
        <v>2353</v>
      </c>
      <c r="B46" s="65" t="s">
        <v>38</v>
      </c>
      <c r="C46" s="90">
        <f>VLOOKUP(A46,'Change in Proportion Calc'!$A$5:$P$316,12,FALSE)</f>
        <v>-72081</v>
      </c>
      <c r="D46" s="90">
        <f>VLOOKUP(A46,'Change in Proportion Calc'!$A$5:$P$316,13,FALSE)</f>
        <v>-72081</v>
      </c>
      <c r="E46" s="90">
        <f>VLOOKUP(A46,'Change in Proportion Calc'!$A$5:$P$316,13,FALSE)</f>
        <v>-72081</v>
      </c>
      <c r="F46" s="90">
        <f>VLOOKUP(A46,'Change in Proportion Calc'!$A$5:$P$316,13,FALSE)</f>
        <v>-72081</v>
      </c>
      <c r="G46" s="90">
        <f>VLOOKUP(A46,'Change in Proportion Calc'!$A$5:$P$316,16,FALSE)</f>
        <v>-70637</v>
      </c>
      <c r="H46" s="255"/>
      <c r="I46" s="280">
        <v>-1031</v>
      </c>
      <c r="J46" s="280">
        <v>-1031</v>
      </c>
      <c r="K46" s="280">
        <v>-1031</v>
      </c>
      <c r="L46" s="280">
        <v>-1031</v>
      </c>
      <c r="M46" s="281">
        <v>-1008</v>
      </c>
      <c r="N46" s="65"/>
      <c r="O46" s="154">
        <v>132917</v>
      </c>
      <c r="P46" s="154">
        <v>132917</v>
      </c>
      <c r="Q46" s="154">
        <v>132917</v>
      </c>
      <c r="R46" s="155">
        <v>85065</v>
      </c>
      <c r="T46" s="197">
        <v>78583</v>
      </c>
      <c r="U46" s="197">
        <v>78583</v>
      </c>
      <c r="V46" s="197">
        <v>56581</v>
      </c>
      <c r="X46" s="281">
        <f>VLOOKUP(A46,'Change in Proportion Calc'!$A$5:$H$316,8,FALSE)+I46+O46+T46</f>
        <v>138388</v>
      </c>
      <c r="Z46" s="280">
        <f t="shared" si="0"/>
        <v>486063</v>
      </c>
      <c r="AA46" s="280">
        <f t="shared" si="1"/>
        <v>363062</v>
      </c>
      <c r="AC46" s="280">
        <f>VLOOKUP(A46,'OPEB Amounts_Report'!$A$10:$F$321,6,FALSE)</f>
        <v>486063</v>
      </c>
      <c r="AD46" s="281">
        <f t="shared" si="2"/>
        <v>0</v>
      </c>
    </row>
    <row r="47" spans="1:30">
      <c r="A47" s="62">
        <v>3040</v>
      </c>
      <c r="B47" s="66" t="s">
        <v>39</v>
      </c>
      <c r="C47" s="90">
        <f>VLOOKUP(A47,'Change in Proportion Calc'!$A$5:$P$316,12,FALSE)</f>
        <v>-16036</v>
      </c>
      <c r="D47" s="90">
        <f>VLOOKUP(A47,'Change in Proportion Calc'!$A$5:$P$316,13,FALSE)</f>
        <v>-16036</v>
      </c>
      <c r="E47" s="90">
        <f>VLOOKUP(A47,'Change in Proportion Calc'!$A$5:$P$316,13,FALSE)</f>
        <v>-16036</v>
      </c>
      <c r="F47" s="90">
        <f>VLOOKUP(A47,'Change in Proportion Calc'!$A$5:$P$316,13,FALSE)</f>
        <v>-16036</v>
      </c>
      <c r="G47" s="90">
        <f>VLOOKUP(A47,'Change in Proportion Calc'!$A$5:$P$316,16,FALSE)</f>
        <v>-15715</v>
      </c>
      <c r="H47" s="255"/>
      <c r="I47" s="280">
        <v>-37439</v>
      </c>
      <c r="J47" s="280">
        <v>-37439</v>
      </c>
      <c r="K47" s="280">
        <v>-37439</v>
      </c>
      <c r="L47" s="280">
        <v>-37439</v>
      </c>
      <c r="M47" s="281">
        <v>-36690</v>
      </c>
      <c r="N47" s="65"/>
      <c r="O47" s="154">
        <v>-83728</v>
      </c>
      <c r="P47" s="154">
        <v>-83728</v>
      </c>
      <c r="Q47" s="154">
        <v>-83728</v>
      </c>
      <c r="R47" s="155">
        <v>-53584</v>
      </c>
      <c r="T47" s="197">
        <v>-306747</v>
      </c>
      <c r="U47" s="197">
        <v>-306747</v>
      </c>
      <c r="V47" s="197">
        <v>-220858</v>
      </c>
      <c r="X47" s="281">
        <f>VLOOKUP(A47,'Change in Proportion Calc'!$A$5:$H$316,8,FALSE)+I47+O47+T47</f>
        <v>-443950</v>
      </c>
      <c r="Z47" s="280">
        <f t="shared" si="0"/>
        <v>0</v>
      </c>
      <c r="AA47" s="280">
        <f t="shared" si="1"/>
        <v>977511</v>
      </c>
      <c r="AC47" s="280">
        <f>VLOOKUP(A47,'OPEB Amounts_Report'!$A$10:$F$321,6,FALSE)</f>
        <v>0</v>
      </c>
      <c r="AD47" s="281">
        <f t="shared" si="2"/>
        <v>0</v>
      </c>
    </row>
    <row r="48" spans="1:30">
      <c r="A48" s="64">
        <v>2367</v>
      </c>
      <c r="B48" s="65" t="s">
        <v>40</v>
      </c>
      <c r="C48" s="90">
        <f>VLOOKUP(A48,'Change in Proportion Calc'!$A$5:$P$316,12,FALSE)</f>
        <v>35716</v>
      </c>
      <c r="D48" s="90">
        <f>VLOOKUP(A48,'Change in Proportion Calc'!$A$5:$P$316,13,FALSE)</f>
        <v>35716</v>
      </c>
      <c r="E48" s="90">
        <f>VLOOKUP(A48,'Change in Proportion Calc'!$A$5:$P$316,13,FALSE)</f>
        <v>35716</v>
      </c>
      <c r="F48" s="90">
        <f>VLOOKUP(A48,'Change in Proportion Calc'!$A$5:$P$316,13,FALSE)</f>
        <v>35716</v>
      </c>
      <c r="G48" s="90">
        <f>VLOOKUP(A48,'Change in Proportion Calc'!$A$5:$P$316,16,FALSE)</f>
        <v>35004</v>
      </c>
      <c r="H48" s="255"/>
      <c r="I48" s="280">
        <v>-8845</v>
      </c>
      <c r="J48" s="280">
        <v>-8845</v>
      </c>
      <c r="K48" s="280">
        <v>-8845</v>
      </c>
      <c r="L48" s="280">
        <v>-8845</v>
      </c>
      <c r="M48" s="281">
        <v>-8666</v>
      </c>
      <c r="N48" s="65"/>
      <c r="O48" s="154">
        <v>26001</v>
      </c>
      <c r="P48" s="154">
        <v>26001</v>
      </c>
      <c r="Q48" s="154">
        <v>26001</v>
      </c>
      <c r="R48" s="155">
        <v>16642</v>
      </c>
      <c r="T48" s="197">
        <v>-28496</v>
      </c>
      <c r="U48" s="197">
        <v>-28496</v>
      </c>
      <c r="V48" s="197">
        <v>-20518</v>
      </c>
      <c r="X48" s="281">
        <f>VLOOKUP(A48,'Change in Proportion Calc'!$A$5:$H$316,8,FALSE)+I48+O48+T48</f>
        <v>24376</v>
      </c>
      <c r="Z48" s="280">
        <f t="shared" si="0"/>
        <v>246512</v>
      </c>
      <c r="AA48" s="280">
        <f t="shared" si="1"/>
        <v>84215</v>
      </c>
      <c r="AC48" s="280">
        <f>VLOOKUP(A48,'OPEB Amounts_Report'!$A$10:$F$321,6,FALSE)</f>
        <v>246512</v>
      </c>
      <c r="AD48" s="281">
        <f t="shared" si="2"/>
        <v>0</v>
      </c>
    </row>
    <row r="49" spans="1:30">
      <c r="A49" s="62">
        <v>9027</v>
      </c>
      <c r="B49" s="66" t="s">
        <v>41</v>
      </c>
      <c r="C49" s="90">
        <f>VLOOKUP(A49,'Change in Proportion Calc'!$A$5:$P$316,12,FALSE)</f>
        <v>89493</v>
      </c>
      <c r="D49" s="90">
        <f>VLOOKUP(A49,'Change in Proportion Calc'!$A$5:$P$316,13,FALSE)</f>
        <v>89493</v>
      </c>
      <c r="E49" s="90">
        <f>VLOOKUP(A49,'Change in Proportion Calc'!$A$5:$P$316,13,FALSE)</f>
        <v>89493</v>
      </c>
      <c r="F49" s="90">
        <f>VLOOKUP(A49,'Change in Proportion Calc'!$A$5:$P$316,13,FALSE)</f>
        <v>89493</v>
      </c>
      <c r="G49" s="90">
        <f>VLOOKUP(A49,'Change in Proportion Calc'!$A$5:$P$316,16,FALSE)</f>
        <v>87705</v>
      </c>
      <c r="H49" s="255"/>
      <c r="I49" s="280">
        <v>-59250</v>
      </c>
      <c r="J49" s="280">
        <v>-59250</v>
      </c>
      <c r="K49" s="280">
        <v>-59250</v>
      </c>
      <c r="L49" s="280">
        <v>-59250</v>
      </c>
      <c r="M49" s="281">
        <v>-58063</v>
      </c>
      <c r="N49" s="65"/>
      <c r="O49" s="154">
        <v>9702</v>
      </c>
      <c r="P49" s="154">
        <v>9702</v>
      </c>
      <c r="Q49" s="154">
        <v>9702</v>
      </c>
      <c r="R49" s="155">
        <v>6209</v>
      </c>
      <c r="T49" s="197">
        <v>66426</v>
      </c>
      <c r="U49" s="197">
        <v>66426</v>
      </c>
      <c r="V49" s="197">
        <v>47828</v>
      </c>
      <c r="X49" s="281">
        <f>VLOOKUP(A49,'Change in Proportion Calc'!$A$5:$H$316,8,FALSE)+I49+O49+T49</f>
        <v>106371</v>
      </c>
      <c r="Z49" s="280">
        <f t="shared" si="0"/>
        <v>585544</v>
      </c>
      <c r="AA49" s="280">
        <f t="shared" si="1"/>
        <v>235813</v>
      </c>
      <c r="AC49" s="280">
        <f>VLOOKUP(A49,'OPEB Amounts_Report'!$A$10:$F$321,6,FALSE)</f>
        <v>585544</v>
      </c>
      <c r="AD49" s="281">
        <f t="shared" si="2"/>
        <v>0</v>
      </c>
    </row>
    <row r="50" spans="1:30">
      <c r="A50" s="64">
        <v>2010</v>
      </c>
      <c r="B50" s="65" t="s">
        <v>42</v>
      </c>
      <c r="C50" s="90">
        <f>VLOOKUP(A50,'Change in Proportion Calc'!$A$5:$P$316,12,FALSE)</f>
        <v>53615</v>
      </c>
      <c r="D50" s="90">
        <f>VLOOKUP(A50,'Change in Proportion Calc'!$A$5:$P$316,13,FALSE)</f>
        <v>53615</v>
      </c>
      <c r="E50" s="90">
        <f>VLOOKUP(A50,'Change in Proportion Calc'!$A$5:$P$316,13,FALSE)</f>
        <v>53615</v>
      </c>
      <c r="F50" s="90">
        <f>VLOOKUP(A50,'Change in Proportion Calc'!$A$5:$P$316,13,FALSE)</f>
        <v>53615</v>
      </c>
      <c r="G50" s="90">
        <f>VLOOKUP(A50,'Change in Proportion Calc'!$A$5:$P$316,16,FALSE)</f>
        <v>52543</v>
      </c>
      <c r="H50" s="255"/>
      <c r="I50" s="280">
        <v>-206172</v>
      </c>
      <c r="J50" s="280">
        <v>-206172</v>
      </c>
      <c r="K50" s="280">
        <v>-206172</v>
      </c>
      <c r="L50" s="280">
        <v>-206172</v>
      </c>
      <c r="M50" s="281">
        <v>-202047</v>
      </c>
      <c r="N50" s="65"/>
      <c r="O50" s="154">
        <v>-75772</v>
      </c>
      <c r="P50" s="154">
        <v>-75772</v>
      </c>
      <c r="Q50" s="154">
        <v>-75772</v>
      </c>
      <c r="R50" s="155">
        <v>-48495</v>
      </c>
      <c r="T50" s="197">
        <v>122835</v>
      </c>
      <c r="U50" s="197">
        <v>122835</v>
      </c>
      <c r="V50" s="197">
        <v>88441</v>
      </c>
      <c r="X50" s="281">
        <f>VLOOKUP(A50,'Change in Proportion Calc'!$A$5:$H$316,8,FALSE)+I50+O50+T50</f>
        <v>-105494</v>
      </c>
      <c r="Z50" s="280">
        <f t="shared" si="0"/>
        <v>478279</v>
      </c>
      <c r="AA50" s="280">
        <f t="shared" si="1"/>
        <v>1020602</v>
      </c>
      <c r="AC50" s="280">
        <f>VLOOKUP(A50,'OPEB Amounts_Report'!$A$10:$F$321,6,FALSE)</f>
        <v>478279</v>
      </c>
      <c r="AD50" s="281">
        <f t="shared" si="2"/>
        <v>0</v>
      </c>
    </row>
    <row r="51" spans="1:30">
      <c r="A51" s="62">
        <v>2020</v>
      </c>
      <c r="B51" s="66" t="s">
        <v>43</v>
      </c>
      <c r="C51" s="90">
        <f>VLOOKUP(A51,'Change in Proportion Calc'!$A$5:$P$316,12,FALSE)</f>
        <v>468848</v>
      </c>
      <c r="D51" s="90">
        <f>VLOOKUP(A51,'Change in Proportion Calc'!$A$5:$P$316,13,FALSE)</f>
        <v>468848</v>
      </c>
      <c r="E51" s="90">
        <f>VLOOKUP(A51,'Change in Proportion Calc'!$A$5:$P$316,13,FALSE)</f>
        <v>468848</v>
      </c>
      <c r="F51" s="90">
        <f>VLOOKUP(A51,'Change in Proportion Calc'!$A$5:$P$316,13,FALSE)</f>
        <v>468848</v>
      </c>
      <c r="G51" s="90">
        <f>VLOOKUP(A51,'Change in Proportion Calc'!$A$5:$P$316,16,FALSE)</f>
        <v>459471</v>
      </c>
      <c r="H51" s="255"/>
      <c r="I51" s="280">
        <v>-1405505</v>
      </c>
      <c r="J51" s="280">
        <v>-1405505</v>
      </c>
      <c r="K51" s="280">
        <v>-1405505</v>
      </c>
      <c r="L51" s="280">
        <v>-1405505</v>
      </c>
      <c r="M51" s="281">
        <v>-1377395</v>
      </c>
      <c r="N51" s="65"/>
      <c r="O51" s="154">
        <v>63839</v>
      </c>
      <c r="P51" s="154">
        <v>63839</v>
      </c>
      <c r="Q51" s="154">
        <v>63839</v>
      </c>
      <c r="R51" s="155">
        <v>40855</v>
      </c>
      <c r="T51" s="197">
        <v>-977039</v>
      </c>
      <c r="U51" s="197">
        <v>-977039</v>
      </c>
      <c r="V51" s="197">
        <v>-703466</v>
      </c>
      <c r="X51" s="281">
        <f>VLOOKUP(A51,'Change in Proportion Calc'!$A$5:$H$316,8,FALSE)+I51+O51+T51</f>
        <v>-1849857</v>
      </c>
      <c r="Z51" s="280">
        <f t="shared" si="0"/>
        <v>2503396</v>
      </c>
      <c r="AA51" s="280">
        <f t="shared" si="1"/>
        <v>7274415</v>
      </c>
      <c r="AC51" s="280">
        <f>VLOOKUP(A51,'OPEB Amounts_Report'!$A$10:$F$321,6,FALSE)</f>
        <v>2503396</v>
      </c>
      <c r="AD51" s="281">
        <f t="shared" si="2"/>
        <v>0</v>
      </c>
    </row>
    <row r="52" spans="1:30">
      <c r="A52" s="64">
        <v>2040</v>
      </c>
      <c r="B52" s="65" t="s">
        <v>44</v>
      </c>
      <c r="C52" s="90">
        <f>VLOOKUP(A52,'Change in Proportion Calc'!$A$5:$P$316,12,FALSE)</f>
        <v>-6236</v>
      </c>
      <c r="D52" s="90">
        <f>VLOOKUP(A52,'Change in Proportion Calc'!$A$5:$P$316,13,FALSE)</f>
        <v>-6236</v>
      </c>
      <c r="E52" s="90">
        <f>VLOOKUP(A52,'Change in Proportion Calc'!$A$5:$P$316,13,FALSE)</f>
        <v>-6236</v>
      </c>
      <c r="F52" s="90">
        <f>VLOOKUP(A52,'Change in Proportion Calc'!$A$5:$P$316,13,FALSE)</f>
        <v>-6236</v>
      </c>
      <c r="G52" s="90">
        <f>VLOOKUP(A52,'Change in Proportion Calc'!$A$5:$P$316,16,FALSE)</f>
        <v>-6112</v>
      </c>
      <c r="H52" s="255"/>
      <c r="I52" s="280">
        <v>-51436</v>
      </c>
      <c r="J52" s="280">
        <v>-51436</v>
      </c>
      <c r="K52" s="280">
        <v>-51436</v>
      </c>
      <c r="L52" s="280">
        <v>-51436</v>
      </c>
      <c r="M52" s="281">
        <v>-50405</v>
      </c>
      <c r="N52" s="65"/>
      <c r="O52" s="154">
        <v>19307</v>
      </c>
      <c r="P52" s="154">
        <v>19307</v>
      </c>
      <c r="Q52" s="154">
        <v>19307</v>
      </c>
      <c r="R52" s="155">
        <v>12356</v>
      </c>
      <c r="T52" s="197">
        <v>-18090</v>
      </c>
      <c r="U52" s="197">
        <v>-18090</v>
      </c>
      <c r="V52" s="197">
        <v>-13023</v>
      </c>
      <c r="X52" s="281">
        <f>VLOOKUP(A52,'Change in Proportion Calc'!$A$5:$H$316,8,FALSE)+I52+O52+T52</f>
        <v>-56455</v>
      </c>
      <c r="Z52" s="280">
        <f t="shared" si="0"/>
        <v>50970</v>
      </c>
      <c r="AA52" s="280">
        <f t="shared" si="1"/>
        <v>266882</v>
      </c>
      <c r="AC52" s="280">
        <f>VLOOKUP(A52,'OPEB Amounts_Report'!$A$10:$F$321,6,FALSE)</f>
        <v>50970</v>
      </c>
      <c r="AD52" s="281">
        <f t="shared" si="2"/>
        <v>0</v>
      </c>
    </row>
    <row r="53" spans="1:30">
      <c r="A53" s="62">
        <v>2060</v>
      </c>
      <c r="B53" s="66" t="s">
        <v>45</v>
      </c>
      <c r="C53" s="90">
        <f>VLOOKUP(A53,'Change in Proportion Calc'!$A$5:$P$316,12,FALSE)</f>
        <v>141894</v>
      </c>
      <c r="D53" s="90">
        <f>VLOOKUP(A53,'Change in Proportion Calc'!$A$5:$P$316,13,FALSE)</f>
        <v>141894</v>
      </c>
      <c r="E53" s="90">
        <f>VLOOKUP(A53,'Change in Proportion Calc'!$A$5:$P$316,13,FALSE)</f>
        <v>141894</v>
      </c>
      <c r="F53" s="90">
        <f>VLOOKUP(A53,'Change in Proportion Calc'!$A$5:$P$316,13,FALSE)</f>
        <v>141894</v>
      </c>
      <c r="G53" s="90">
        <f>VLOOKUP(A53,'Change in Proportion Calc'!$A$5:$P$316,16,FALSE)</f>
        <v>139054</v>
      </c>
      <c r="H53" s="255"/>
      <c r="I53" s="280">
        <v>-68438</v>
      </c>
      <c r="J53" s="280">
        <v>-68438</v>
      </c>
      <c r="K53" s="280">
        <v>-68438</v>
      </c>
      <c r="L53" s="280">
        <v>-68438</v>
      </c>
      <c r="M53" s="281">
        <v>-67067</v>
      </c>
      <c r="N53" s="65"/>
      <c r="O53" s="154">
        <v>5821</v>
      </c>
      <c r="P53" s="154">
        <v>5821</v>
      </c>
      <c r="Q53" s="154">
        <v>5821</v>
      </c>
      <c r="R53" s="155">
        <v>3726</v>
      </c>
      <c r="T53" s="197">
        <v>-11379</v>
      </c>
      <c r="U53" s="197">
        <v>-11379</v>
      </c>
      <c r="V53" s="197">
        <v>-8193</v>
      </c>
      <c r="X53" s="281">
        <f>VLOOKUP(A53,'Change in Proportion Calc'!$A$5:$H$316,8,FALSE)+I53+O53+T53</f>
        <v>67897</v>
      </c>
      <c r="Z53" s="280">
        <f t="shared" si="0"/>
        <v>721998</v>
      </c>
      <c r="AA53" s="280">
        <f t="shared" si="1"/>
        <v>291953</v>
      </c>
      <c r="AC53" s="280">
        <f>VLOOKUP(A53,'OPEB Amounts_Report'!$A$10:$F$321,6,FALSE)</f>
        <v>721998</v>
      </c>
      <c r="AD53" s="281">
        <f t="shared" si="2"/>
        <v>0</v>
      </c>
    </row>
    <row r="54" spans="1:30">
      <c r="A54" s="64">
        <v>2090</v>
      </c>
      <c r="B54" s="65" t="s">
        <v>46</v>
      </c>
      <c r="C54" s="90">
        <f>VLOOKUP(A54,'Change in Proportion Calc'!$A$5:$P$316,12,FALSE)</f>
        <v>-39280</v>
      </c>
      <c r="D54" s="90">
        <f>VLOOKUP(A54,'Change in Proportion Calc'!$A$5:$P$316,13,FALSE)</f>
        <v>-39280</v>
      </c>
      <c r="E54" s="90">
        <f>VLOOKUP(A54,'Change in Proportion Calc'!$A$5:$P$316,13,FALSE)</f>
        <v>-39280</v>
      </c>
      <c r="F54" s="90">
        <f>VLOOKUP(A54,'Change in Proportion Calc'!$A$5:$P$316,13,FALSE)</f>
        <v>-39280</v>
      </c>
      <c r="G54" s="90">
        <f>VLOOKUP(A54,'Change in Proportion Calc'!$A$5:$P$316,16,FALSE)</f>
        <v>-38494</v>
      </c>
      <c r="H54" s="255"/>
      <c r="I54" s="280">
        <v>-8587</v>
      </c>
      <c r="J54" s="280">
        <v>-8587</v>
      </c>
      <c r="K54" s="280">
        <v>-8587</v>
      </c>
      <c r="L54" s="280">
        <v>-8587</v>
      </c>
      <c r="M54" s="281">
        <v>-8415</v>
      </c>
      <c r="N54" s="65"/>
      <c r="O54" s="154">
        <v>-89161</v>
      </c>
      <c r="P54" s="154">
        <v>-89161</v>
      </c>
      <c r="Q54" s="154">
        <v>-89161</v>
      </c>
      <c r="R54" s="155">
        <v>-57062</v>
      </c>
      <c r="T54" s="197">
        <v>-245670</v>
      </c>
      <c r="U54" s="197">
        <v>-245670</v>
      </c>
      <c r="V54" s="197">
        <v>-176882</v>
      </c>
      <c r="X54" s="281">
        <f>VLOOKUP(A54,'Change in Proportion Calc'!$A$5:$H$316,8,FALSE)+I54+O54+T54</f>
        <v>-382698</v>
      </c>
      <c r="Z54" s="280">
        <f t="shared" si="0"/>
        <v>0</v>
      </c>
      <c r="AA54" s="280">
        <f t="shared" si="1"/>
        <v>887726</v>
      </c>
      <c r="AC54" s="280">
        <f>VLOOKUP(A54,'OPEB Amounts_Report'!$A$10:$F$321,6,FALSE)</f>
        <v>0</v>
      </c>
      <c r="AD54" s="281">
        <f t="shared" si="2"/>
        <v>0</v>
      </c>
    </row>
    <row r="55" spans="1:30">
      <c r="A55" s="62">
        <v>2110</v>
      </c>
      <c r="B55" s="66" t="s">
        <v>47</v>
      </c>
      <c r="C55" s="90">
        <f>VLOOKUP(A55,'Change in Proportion Calc'!$A$5:$P$316,12,FALSE)</f>
        <v>-91437</v>
      </c>
      <c r="D55" s="90">
        <f>VLOOKUP(A55,'Change in Proportion Calc'!$A$5:$P$316,13,FALSE)</f>
        <v>-91437</v>
      </c>
      <c r="E55" s="90">
        <f>VLOOKUP(A55,'Change in Proportion Calc'!$A$5:$P$316,13,FALSE)</f>
        <v>-91437</v>
      </c>
      <c r="F55" s="90">
        <f>VLOOKUP(A55,'Change in Proportion Calc'!$A$5:$P$316,13,FALSE)</f>
        <v>-91437</v>
      </c>
      <c r="G55" s="90">
        <f>VLOOKUP(A55,'Change in Proportion Calc'!$A$5:$P$316,16,FALSE)</f>
        <v>-89609</v>
      </c>
      <c r="H55" s="255"/>
      <c r="I55" s="280">
        <v>-121161</v>
      </c>
      <c r="J55" s="280">
        <v>-121161</v>
      </c>
      <c r="K55" s="280">
        <v>-121161</v>
      </c>
      <c r="L55" s="280">
        <v>-121161</v>
      </c>
      <c r="M55" s="281">
        <v>-118739</v>
      </c>
      <c r="N55" s="65"/>
      <c r="O55" s="154">
        <v>123506</v>
      </c>
      <c r="P55" s="154">
        <v>123506</v>
      </c>
      <c r="Q55" s="154">
        <v>123506</v>
      </c>
      <c r="R55" s="155">
        <v>79042</v>
      </c>
      <c r="T55" s="197">
        <v>76054</v>
      </c>
      <c r="U55" s="197">
        <v>76054</v>
      </c>
      <c r="V55" s="197">
        <v>54761</v>
      </c>
      <c r="X55" s="281">
        <f>VLOOKUP(A55,'Change in Proportion Calc'!$A$5:$H$316,8,FALSE)+I55+O55+T55</f>
        <v>-13038</v>
      </c>
      <c r="Z55" s="280">
        <f t="shared" si="0"/>
        <v>456869</v>
      </c>
      <c r="AA55" s="280">
        <f t="shared" si="1"/>
        <v>937579</v>
      </c>
      <c r="AC55" s="280">
        <f>VLOOKUP(A55,'OPEB Amounts_Report'!$A$10:$F$321,6,FALSE)</f>
        <v>456869</v>
      </c>
      <c r="AD55" s="281">
        <f t="shared" si="2"/>
        <v>0</v>
      </c>
    </row>
    <row r="56" spans="1:30">
      <c r="A56" s="64">
        <v>2180</v>
      </c>
      <c r="B56" s="65" t="s">
        <v>48</v>
      </c>
      <c r="C56" s="90">
        <f>VLOOKUP(A56,'Change in Proportion Calc'!$A$5:$P$316,12,FALSE)</f>
        <v>31829</v>
      </c>
      <c r="D56" s="90">
        <f>VLOOKUP(A56,'Change in Proportion Calc'!$A$5:$P$316,13,FALSE)</f>
        <v>31829</v>
      </c>
      <c r="E56" s="90">
        <f>VLOOKUP(A56,'Change in Proportion Calc'!$A$5:$P$316,13,FALSE)</f>
        <v>31829</v>
      </c>
      <c r="F56" s="90">
        <f>VLOOKUP(A56,'Change in Proportion Calc'!$A$5:$P$316,13,FALSE)</f>
        <v>31829</v>
      </c>
      <c r="G56" s="90">
        <f>VLOOKUP(A56,'Change in Proportion Calc'!$A$5:$P$316,16,FALSE)</f>
        <v>31192</v>
      </c>
      <c r="H56" s="255"/>
      <c r="I56" s="280">
        <v>-184876</v>
      </c>
      <c r="J56" s="280">
        <v>-184876</v>
      </c>
      <c r="K56" s="280">
        <v>-184876</v>
      </c>
      <c r="L56" s="280">
        <v>-184876</v>
      </c>
      <c r="M56" s="281">
        <v>-181179</v>
      </c>
      <c r="N56" s="65"/>
      <c r="O56" s="154">
        <v>-69854</v>
      </c>
      <c r="P56" s="154">
        <v>-69854</v>
      </c>
      <c r="Q56" s="154">
        <v>-69854</v>
      </c>
      <c r="R56" s="155">
        <v>-44706</v>
      </c>
      <c r="T56" s="197">
        <v>75374</v>
      </c>
      <c r="U56" s="197">
        <v>75374</v>
      </c>
      <c r="V56" s="197">
        <v>54268</v>
      </c>
      <c r="X56" s="281">
        <f>VLOOKUP(A56,'Change in Proportion Calc'!$A$5:$H$316,8,FALSE)+I56+O56+T56</f>
        <v>-147527</v>
      </c>
      <c r="Z56" s="280">
        <f t="shared" si="0"/>
        <v>288150</v>
      </c>
      <c r="AA56" s="280">
        <f t="shared" si="1"/>
        <v>920221</v>
      </c>
      <c r="AC56" s="280">
        <f>VLOOKUP(A56,'OPEB Amounts_Report'!$A$10:$F$321,6,FALSE)</f>
        <v>288150</v>
      </c>
      <c r="AD56" s="281">
        <f t="shared" si="2"/>
        <v>0</v>
      </c>
    </row>
    <row r="57" spans="1:30">
      <c r="A57" s="62">
        <v>2210</v>
      </c>
      <c r="B57" s="66" t="s">
        <v>49</v>
      </c>
      <c r="C57" s="90">
        <f>VLOOKUP(A57,'Change in Proportion Calc'!$A$5:$P$316,12,FALSE)</f>
        <v>8504</v>
      </c>
      <c r="D57" s="90">
        <f>VLOOKUP(A57,'Change in Proportion Calc'!$A$5:$P$316,13,FALSE)</f>
        <v>8504</v>
      </c>
      <c r="E57" s="90">
        <f>VLOOKUP(A57,'Change in Proportion Calc'!$A$5:$P$316,13,FALSE)</f>
        <v>8504</v>
      </c>
      <c r="F57" s="90">
        <f>VLOOKUP(A57,'Change in Proportion Calc'!$A$5:$P$316,13,FALSE)</f>
        <v>8504</v>
      </c>
      <c r="G57" s="90">
        <f>VLOOKUP(A57,'Change in Proportion Calc'!$A$5:$P$316,16,FALSE)</f>
        <v>8333</v>
      </c>
      <c r="H57" s="255"/>
      <c r="I57" s="280">
        <v>-77883</v>
      </c>
      <c r="J57" s="280">
        <v>-77883</v>
      </c>
      <c r="K57" s="280">
        <v>-77883</v>
      </c>
      <c r="L57" s="280">
        <v>-77883</v>
      </c>
      <c r="M57" s="281">
        <v>-76327</v>
      </c>
      <c r="N57" s="65"/>
      <c r="O57" s="154">
        <v>-40942</v>
      </c>
      <c r="P57" s="154">
        <v>-40942</v>
      </c>
      <c r="Q57" s="154">
        <v>-40942</v>
      </c>
      <c r="R57" s="155">
        <v>-26204</v>
      </c>
      <c r="T57" s="197">
        <v>-42501</v>
      </c>
      <c r="U57" s="197">
        <v>-42501</v>
      </c>
      <c r="V57" s="197">
        <v>-30601</v>
      </c>
      <c r="X57" s="281">
        <f>VLOOKUP(A57,'Change in Proportion Calc'!$A$5:$H$316,8,FALSE)+I57+O57+T57</f>
        <v>-152822</v>
      </c>
      <c r="Z57" s="280">
        <f t="shared" si="0"/>
        <v>42349</v>
      </c>
      <c r="AA57" s="280">
        <f t="shared" si="1"/>
        <v>491166</v>
      </c>
      <c r="AC57" s="280">
        <f>VLOOKUP(A57,'OPEB Amounts_Report'!$A$10:$F$321,6,FALSE)</f>
        <v>42349</v>
      </c>
      <c r="AD57" s="281">
        <f t="shared" si="2"/>
        <v>0</v>
      </c>
    </row>
    <row r="58" spans="1:30">
      <c r="A58" s="64">
        <v>2290</v>
      </c>
      <c r="B58" s="65" t="s">
        <v>50</v>
      </c>
      <c r="C58" s="90">
        <f>VLOOKUP(A58,'Change in Proportion Calc'!$A$5:$P$316,12,FALSE)</f>
        <v>31991</v>
      </c>
      <c r="D58" s="90">
        <f>VLOOKUP(A58,'Change in Proportion Calc'!$A$5:$P$316,13,FALSE)</f>
        <v>31991</v>
      </c>
      <c r="E58" s="90">
        <f>VLOOKUP(A58,'Change in Proportion Calc'!$A$5:$P$316,13,FALSE)</f>
        <v>31991</v>
      </c>
      <c r="F58" s="90">
        <f>VLOOKUP(A58,'Change in Proportion Calc'!$A$5:$P$316,13,FALSE)</f>
        <v>31991</v>
      </c>
      <c r="G58" s="90">
        <f>VLOOKUP(A58,'Change in Proportion Calc'!$A$5:$P$316,16,FALSE)</f>
        <v>31350</v>
      </c>
      <c r="H58" s="255"/>
      <c r="I58" s="280">
        <v>-9274</v>
      </c>
      <c r="J58" s="280">
        <v>-9274</v>
      </c>
      <c r="K58" s="280">
        <v>-9274</v>
      </c>
      <c r="L58" s="280">
        <v>-9274</v>
      </c>
      <c r="M58" s="281">
        <v>-9088</v>
      </c>
      <c r="N58" s="65"/>
      <c r="O58" s="154">
        <v>-70824</v>
      </c>
      <c r="P58" s="154">
        <v>-70824</v>
      </c>
      <c r="Q58" s="154">
        <v>-70824</v>
      </c>
      <c r="R58" s="155">
        <v>-45328</v>
      </c>
      <c r="T58" s="197">
        <v>49504</v>
      </c>
      <c r="U58" s="197">
        <v>49504</v>
      </c>
      <c r="V58" s="197">
        <v>35641</v>
      </c>
      <c r="X58" s="281">
        <f>VLOOKUP(A58,'Change in Proportion Calc'!$A$5:$H$316,8,FALSE)+I58+O58+T58</f>
        <v>1397</v>
      </c>
      <c r="Z58" s="280">
        <f t="shared" si="0"/>
        <v>244459</v>
      </c>
      <c r="AA58" s="280">
        <f t="shared" si="1"/>
        <v>223886</v>
      </c>
      <c r="AC58" s="280">
        <f>VLOOKUP(A58,'OPEB Amounts_Report'!$A$10:$F$321,6,FALSE)</f>
        <v>244459</v>
      </c>
      <c r="AD58" s="281">
        <f t="shared" si="2"/>
        <v>0</v>
      </c>
    </row>
    <row r="59" spans="1:30">
      <c r="A59" s="62">
        <v>2310</v>
      </c>
      <c r="B59" s="66" t="s">
        <v>51</v>
      </c>
      <c r="C59" s="90">
        <f>VLOOKUP(A59,'Change in Proportion Calc'!$A$5:$P$316,12,FALSE)</f>
        <v>-193970</v>
      </c>
      <c r="D59" s="90">
        <f>VLOOKUP(A59,'Change in Proportion Calc'!$A$5:$P$316,13,FALSE)</f>
        <v>-193970</v>
      </c>
      <c r="E59" s="90">
        <f>VLOOKUP(A59,'Change in Proportion Calc'!$A$5:$P$316,13,FALSE)</f>
        <v>-193970</v>
      </c>
      <c r="F59" s="90">
        <f>VLOOKUP(A59,'Change in Proportion Calc'!$A$5:$P$316,13,FALSE)</f>
        <v>-193970</v>
      </c>
      <c r="G59" s="90">
        <f>VLOOKUP(A59,'Change in Proportion Calc'!$A$5:$P$316,16,FALSE)</f>
        <v>-190089</v>
      </c>
      <c r="H59" s="255"/>
      <c r="I59" s="280">
        <v>-1080662</v>
      </c>
      <c r="J59" s="280">
        <v>-1080662</v>
      </c>
      <c r="K59" s="280">
        <v>-1080662</v>
      </c>
      <c r="L59" s="280">
        <v>-1080662</v>
      </c>
      <c r="M59" s="281">
        <v>-1059051</v>
      </c>
      <c r="N59" s="65"/>
      <c r="O59" s="154">
        <v>875017</v>
      </c>
      <c r="P59" s="154">
        <v>875017</v>
      </c>
      <c r="Q59" s="154">
        <v>875017</v>
      </c>
      <c r="R59" s="155">
        <v>560012</v>
      </c>
      <c r="T59" s="197">
        <v>-695481</v>
      </c>
      <c r="U59" s="197">
        <v>-695481</v>
      </c>
      <c r="V59" s="197">
        <v>-500747</v>
      </c>
      <c r="X59" s="281">
        <f>VLOOKUP(A59,'Change in Proportion Calc'!$A$5:$H$316,8,FALSE)+I59+O59+T59</f>
        <v>-1095096</v>
      </c>
      <c r="Z59" s="280">
        <f t="shared" si="0"/>
        <v>2310046</v>
      </c>
      <c r="AA59" s="280">
        <f t="shared" si="1"/>
        <v>6463234</v>
      </c>
      <c r="AC59" s="280">
        <f>VLOOKUP(A59,'OPEB Amounts_Report'!$A$10:$F$321,6,FALSE)</f>
        <v>2310046</v>
      </c>
      <c r="AD59" s="281">
        <f t="shared" si="2"/>
        <v>0</v>
      </c>
    </row>
    <row r="60" spans="1:30">
      <c r="A60" s="64">
        <v>2330</v>
      </c>
      <c r="B60" s="65" t="s">
        <v>52</v>
      </c>
      <c r="C60" s="90">
        <f>VLOOKUP(A60,'Change in Proportion Calc'!$A$5:$P$316,12,FALSE)</f>
        <v>-164490</v>
      </c>
      <c r="D60" s="90">
        <f>VLOOKUP(A60,'Change in Proportion Calc'!$A$5:$P$316,13,FALSE)</f>
        <v>-164490</v>
      </c>
      <c r="E60" s="90">
        <f>VLOOKUP(A60,'Change in Proportion Calc'!$A$5:$P$316,13,FALSE)</f>
        <v>-164490</v>
      </c>
      <c r="F60" s="90">
        <f>VLOOKUP(A60,'Change in Proportion Calc'!$A$5:$P$316,13,FALSE)</f>
        <v>-164490</v>
      </c>
      <c r="G60" s="90">
        <f>VLOOKUP(A60,'Change in Proportion Calc'!$A$5:$P$316,16,FALSE)</f>
        <v>-161198</v>
      </c>
      <c r="H60" s="255"/>
      <c r="I60" s="280">
        <v>-49289</v>
      </c>
      <c r="J60" s="280">
        <v>-49289</v>
      </c>
      <c r="K60" s="280">
        <v>-49289</v>
      </c>
      <c r="L60" s="280">
        <v>-49289</v>
      </c>
      <c r="M60" s="281">
        <v>-48302</v>
      </c>
      <c r="N60" s="65"/>
      <c r="O60" s="154">
        <v>-761408</v>
      </c>
      <c r="P60" s="154">
        <v>-761408</v>
      </c>
      <c r="Q60" s="154">
        <v>-761408</v>
      </c>
      <c r="R60" s="155">
        <v>-487299</v>
      </c>
      <c r="T60" s="197">
        <v>578968</v>
      </c>
      <c r="U60" s="197">
        <v>578968</v>
      </c>
      <c r="V60" s="197">
        <v>416856</v>
      </c>
      <c r="X60" s="281">
        <f>VLOOKUP(A60,'Change in Proportion Calc'!$A$5:$H$316,8,FALSE)+I60+O60+T60</f>
        <v>-396219</v>
      </c>
      <c r="Z60" s="280">
        <f t="shared" si="0"/>
        <v>995824</v>
      </c>
      <c r="AA60" s="280">
        <f t="shared" si="1"/>
        <v>3025442</v>
      </c>
      <c r="AC60" s="280">
        <f>VLOOKUP(A60,'OPEB Amounts_Report'!$A$10:$F$321,6,FALSE)</f>
        <v>995824</v>
      </c>
      <c r="AD60" s="281">
        <f t="shared" si="2"/>
        <v>0</v>
      </c>
    </row>
    <row r="61" spans="1:30">
      <c r="A61" s="62">
        <v>2380</v>
      </c>
      <c r="B61" s="66" t="s">
        <v>53</v>
      </c>
      <c r="C61" s="90">
        <f>VLOOKUP(A61,'Change in Proportion Calc'!$A$5:$P$316,12,FALSE)</f>
        <v>56693</v>
      </c>
      <c r="D61" s="90">
        <f>VLOOKUP(A61,'Change in Proportion Calc'!$A$5:$P$316,13,FALSE)</f>
        <v>56693</v>
      </c>
      <c r="E61" s="90">
        <f>VLOOKUP(A61,'Change in Proportion Calc'!$A$5:$P$316,13,FALSE)</f>
        <v>56693</v>
      </c>
      <c r="F61" s="90">
        <f>VLOOKUP(A61,'Change in Proportion Calc'!$A$5:$P$316,13,FALSE)</f>
        <v>56693</v>
      </c>
      <c r="G61" s="90">
        <f>VLOOKUP(A61,'Change in Proportion Calc'!$A$5:$P$316,16,FALSE)</f>
        <v>55557</v>
      </c>
      <c r="H61" s="255"/>
      <c r="I61" s="280">
        <v>65174</v>
      </c>
      <c r="J61" s="280">
        <v>65174</v>
      </c>
      <c r="K61" s="280">
        <v>65174</v>
      </c>
      <c r="L61" s="280">
        <v>65174</v>
      </c>
      <c r="M61" s="281">
        <v>63873</v>
      </c>
      <c r="N61" s="65"/>
      <c r="O61" s="154">
        <v>75384</v>
      </c>
      <c r="P61" s="154">
        <v>75384</v>
      </c>
      <c r="Q61" s="154">
        <v>75384</v>
      </c>
      <c r="R61" s="155">
        <v>48246</v>
      </c>
      <c r="T61" s="197">
        <v>11282</v>
      </c>
      <c r="U61" s="197">
        <v>11282</v>
      </c>
      <c r="V61" s="197">
        <v>8122</v>
      </c>
      <c r="X61" s="281">
        <f>VLOOKUP(A61,'Change in Proportion Calc'!$A$5:$H$316,8,FALSE)+I61+O61+T61</f>
        <v>208533</v>
      </c>
      <c r="Z61" s="280">
        <f t="shared" si="0"/>
        <v>760142</v>
      </c>
      <c r="AA61" s="280">
        <f t="shared" si="1"/>
        <v>0</v>
      </c>
      <c r="AC61" s="280">
        <f>VLOOKUP(A61,'OPEB Amounts_Report'!$A$10:$F$321,6,FALSE)</f>
        <v>760142</v>
      </c>
      <c r="AD61" s="281">
        <f t="shared" si="2"/>
        <v>0</v>
      </c>
    </row>
    <row r="62" spans="1:30">
      <c r="A62" s="64">
        <v>2400</v>
      </c>
      <c r="B62" s="65" t="s">
        <v>54</v>
      </c>
      <c r="C62" s="90">
        <f>VLOOKUP(A62,'Change in Proportion Calc'!$A$5:$P$316,12,FALSE)</f>
        <v>120027</v>
      </c>
      <c r="D62" s="90">
        <f>VLOOKUP(A62,'Change in Proportion Calc'!$A$5:$P$316,13,FALSE)</f>
        <v>120027</v>
      </c>
      <c r="E62" s="90">
        <f>VLOOKUP(A62,'Change in Proportion Calc'!$A$5:$P$316,13,FALSE)</f>
        <v>120027</v>
      </c>
      <c r="F62" s="90">
        <f>VLOOKUP(A62,'Change in Proportion Calc'!$A$5:$P$316,13,FALSE)</f>
        <v>120027</v>
      </c>
      <c r="G62" s="90">
        <f>VLOOKUP(A62,'Change in Proportion Calc'!$A$5:$P$316,16,FALSE)</f>
        <v>117624</v>
      </c>
      <c r="H62" s="255"/>
      <c r="I62" s="280">
        <v>-1078516</v>
      </c>
      <c r="J62" s="280">
        <v>-1078516</v>
      </c>
      <c r="K62" s="280">
        <v>-1078516</v>
      </c>
      <c r="L62" s="280">
        <v>-1078516</v>
      </c>
      <c r="M62" s="281">
        <v>-1056944</v>
      </c>
      <c r="N62" s="65"/>
      <c r="O62" s="154">
        <v>1359435</v>
      </c>
      <c r="P62" s="154">
        <v>1359435</v>
      </c>
      <c r="Q62" s="154">
        <v>1359435</v>
      </c>
      <c r="R62" s="155">
        <v>870037</v>
      </c>
      <c r="T62" s="197">
        <v>-343121</v>
      </c>
      <c r="U62" s="197">
        <v>-343121</v>
      </c>
      <c r="V62" s="197">
        <v>-247046</v>
      </c>
      <c r="X62" s="281">
        <f>VLOOKUP(A62,'Change in Proportion Calc'!$A$5:$H$316,8,FALSE)+I62+O62+T62</f>
        <v>57824</v>
      </c>
      <c r="Z62" s="280">
        <f t="shared" si="0"/>
        <v>4186639</v>
      </c>
      <c r="AA62" s="280">
        <f t="shared" si="1"/>
        <v>4882659</v>
      </c>
      <c r="AC62" s="280">
        <f>VLOOKUP(A62,'OPEB Amounts_Report'!$A$10:$F$321,6,FALSE)</f>
        <v>4186639</v>
      </c>
      <c r="AD62" s="281">
        <f t="shared" si="2"/>
        <v>0</v>
      </c>
    </row>
    <row r="63" spans="1:30">
      <c r="A63" s="62">
        <v>2410</v>
      </c>
      <c r="B63" s="66" t="s">
        <v>55</v>
      </c>
      <c r="C63" s="90">
        <f>VLOOKUP(A63,'Change in Proportion Calc'!$A$5:$P$316,12,FALSE)</f>
        <v>38146</v>
      </c>
      <c r="D63" s="90">
        <f>VLOOKUP(A63,'Change in Proportion Calc'!$A$5:$P$316,13,FALSE)</f>
        <v>38146</v>
      </c>
      <c r="E63" s="90">
        <f>VLOOKUP(A63,'Change in Proportion Calc'!$A$5:$P$316,13,FALSE)</f>
        <v>38146</v>
      </c>
      <c r="F63" s="90">
        <f>VLOOKUP(A63,'Change in Proportion Calc'!$A$5:$P$316,13,FALSE)</f>
        <v>38146</v>
      </c>
      <c r="G63" s="90">
        <f>VLOOKUP(A63,'Change in Proportion Calc'!$A$5:$P$316,16,FALSE)</f>
        <v>37383</v>
      </c>
      <c r="H63" s="255"/>
      <c r="I63" s="280">
        <v>98835</v>
      </c>
      <c r="J63" s="280">
        <v>98835</v>
      </c>
      <c r="K63" s="280">
        <v>98835</v>
      </c>
      <c r="L63" s="280">
        <v>98835</v>
      </c>
      <c r="M63" s="281">
        <v>96860</v>
      </c>
      <c r="N63" s="65"/>
      <c r="O63" s="154">
        <v>-365181</v>
      </c>
      <c r="P63" s="154">
        <v>-365181</v>
      </c>
      <c r="Q63" s="154">
        <v>-365181</v>
      </c>
      <c r="R63" s="155">
        <v>-233714</v>
      </c>
      <c r="T63" s="197">
        <v>-17993</v>
      </c>
      <c r="U63" s="197">
        <v>-17993</v>
      </c>
      <c r="V63" s="197">
        <v>-12953</v>
      </c>
      <c r="X63" s="281">
        <f>VLOOKUP(A63,'Change in Proportion Calc'!$A$5:$H$316,8,FALSE)+I63+O63+T63</f>
        <v>-246193</v>
      </c>
      <c r="Z63" s="280">
        <f t="shared" si="0"/>
        <v>583332</v>
      </c>
      <c r="AA63" s="280">
        <f t="shared" si="1"/>
        <v>995022</v>
      </c>
      <c r="AC63" s="280">
        <f>VLOOKUP(A63,'OPEB Amounts_Report'!$A$10:$F$321,6,FALSE)</f>
        <v>583332</v>
      </c>
      <c r="AD63" s="281">
        <f t="shared" si="2"/>
        <v>0</v>
      </c>
    </row>
    <row r="64" spans="1:30">
      <c r="A64" s="64">
        <v>2500</v>
      </c>
      <c r="B64" s="65" t="s">
        <v>56</v>
      </c>
      <c r="C64" s="90">
        <f>VLOOKUP(A64,'Change in Proportion Calc'!$A$5:$P$316,12,FALSE)</f>
        <v>5102</v>
      </c>
      <c r="D64" s="90">
        <f>VLOOKUP(A64,'Change in Proportion Calc'!$A$5:$P$316,13,FALSE)</f>
        <v>5102</v>
      </c>
      <c r="E64" s="90">
        <f>VLOOKUP(A64,'Change in Proportion Calc'!$A$5:$P$316,13,FALSE)</f>
        <v>5102</v>
      </c>
      <c r="F64" s="90">
        <f>VLOOKUP(A64,'Change in Proportion Calc'!$A$5:$P$316,13,FALSE)</f>
        <v>5102</v>
      </c>
      <c r="G64" s="90">
        <f>VLOOKUP(A64,'Change in Proportion Calc'!$A$5:$P$316,16,FALSE)</f>
        <v>5002</v>
      </c>
      <c r="H64" s="255"/>
      <c r="I64" s="280">
        <v>-12194</v>
      </c>
      <c r="J64" s="280">
        <v>-12194</v>
      </c>
      <c r="K64" s="280">
        <v>-12194</v>
      </c>
      <c r="L64" s="280">
        <v>-12194</v>
      </c>
      <c r="M64" s="281">
        <v>-11948</v>
      </c>
      <c r="N64" s="65"/>
      <c r="O64" s="154">
        <v>-48704</v>
      </c>
      <c r="P64" s="154">
        <v>-48704</v>
      </c>
      <c r="Q64" s="154">
        <v>-48704</v>
      </c>
      <c r="R64" s="155">
        <v>-31169</v>
      </c>
      <c r="T64" s="197">
        <v>50963</v>
      </c>
      <c r="U64" s="197">
        <v>50963</v>
      </c>
      <c r="V64" s="197">
        <v>36691</v>
      </c>
      <c r="X64" s="281">
        <f>VLOOKUP(A64,'Change in Proportion Calc'!$A$5:$H$316,8,FALSE)+I64+O64+T64</f>
        <v>-4833</v>
      </c>
      <c r="Z64" s="280">
        <f t="shared" si="0"/>
        <v>113064</v>
      </c>
      <c r="AA64" s="280">
        <f t="shared" si="1"/>
        <v>177107</v>
      </c>
      <c r="AC64" s="280">
        <f>VLOOKUP(A64,'OPEB Amounts_Report'!$A$10:$F$321,6,FALSE)</f>
        <v>113064</v>
      </c>
      <c r="AD64" s="281">
        <f t="shared" si="2"/>
        <v>0</v>
      </c>
    </row>
    <row r="65" spans="1:30">
      <c r="A65" s="62">
        <v>2550</v>
      </c>
      <c r="B65" s="66" t="s">
        <v>57</v>
      </c>
      <c r="C65" s="90">
        <f>VLOOKUP(A65,'Change in Proportion Calc'!$A$5:$P$316,12,FALSE)</f>
        <v>-13039</v>
      </c>
      <c r="D65" s="90">
        <f>VLOOKUP(A65,'Change in Proportion Calc'!$A$5:$P$316,13,FALSE)</f>
        <v>-13039</v>
      </c>
      <c r="E65" s="90">
        <f>VLOOKUP(A65,'Change in Proportion Calc'!$A$5:$P$316,13,FALSE)</f>
        <v>-13039</v>
      </c>
      <c r="F65" s="90">
        <f>VLOOKUP(A65,'Change in Proportion Calc'!$A$5:$P$316,13,FALSE)</f>
        <v>-13039</v>
      </c>
      <c r="G65" s="90">
        <f>VLOOKUP(A65,'Change in Proportion Calc'!$A$5:$P$316,16,FALSE)</f>
        <v>-12780</v>
      </c>
      <c r="H65" s="255"/>
      <c r="I65" s="280">
        <v>-55643</v>
      </c>
      <c r="J65" s="280">
        <v>-55643</v>
      </c>
      <c r="K65" s="280">
        <v>-55643</v>
      </c>
      <c r="L65" s="280">
        <v>-55643</v>
      </c>
      <c r="M65" s="281">
        <v>-54531</v>
      </c>
      <c r="N65" s="65"/>
      <c r="O65" s="154">
        <v>-64906</v>
      </c>
      <c r="P65" s="154">
        <v>-64906</v>
      </c>
      <c r="Q65" s="154">
        <v>-64906</v>
      </c>
      <c r="R65" s="155">
        <v>-41539</v>
      </c>
      <c r="T65" s="197">
        <v>9434</v>
      </c>
      <c r="U65" s="197">
        <v>9434</v>
      </c>
      <c r="V65" s="197">
        <v>6792</v>
      </c>
      <c r="X65" s="281">
        <f>VLOOKUP(A65,'Change in Proportion Calc'!$A$5:$H$316,8,FALSE)+I65+O65+T65</f>
        <v>-124154</v>
      </c>
      <c r="Z65" s="280">
        <f t="shared" si="0"/>
        <v>16226</v>
      </c>
      <c r="AA65" s="280">
        <f t="shared" si="1"/>
        <v>457747</v>
      </c>
      <c r="AC65" s="280">
        <f>VLOOKUP(A65,'OPEB Amounts_Report'!$A$10:$F$321,6,FALSE)</f>
        <v>16226</v>
      </c>
      <c r="AD65" s="281">
        <f t="shared" si="2"/>
        <v>0</v>
      </c>
    </row>
    <row r="66" spans="1:30">
      <c r="A66" s="64">
        <v>2570</v>
      </c>
      <c r="B66" s="65" t="s">
        <v>58</v>
      </c>
      <c r="C66" s="90">
        <f>VLOOKUP(A66,'Change in Proportion Calc'!$A$5:$P$316,12,FALSE)</f>
        <v>-8747</v>
      </c>
      <c r="D66" s="90">
        <f>VLOOKUP(A66,'Change in Proportion Calc'!$A$5:$P$316,13,FALSE)</f>
        <v>-8747</v>
      </c>
      <c r="E66" s="90">
        <f>VLOOKUP(A66,'Change in Proportion Calc'!$A$5:$P$316,13,FALSE)</f>
        <v>-8747</v>
      </c>
      <c r="F66" s="90">
        <f>VLOOKUP(A66,'Change in Proportion Calc'!$A$5:$P$316,13,FALSE)</f>
        <v>-8747</v>
      </c>
      <c r="G66" s="90">
        <f>VLOOKUP(A66,'Change in Proportion Calc'!$A$5:$P$316,16,FALSE)</f>
        <v>-8571</v>
      </c>
      <c r="H66" s="255"/>
      <c r="I66" s="280">
        <v>-34519</v>
      </c>
      <c r="J66" s="280">
        <v>-34519</v>
      </c>
      <c r="K66" s="280">
        <v>-34519</v>
      </c>
      <c r="L66" s="280">
        <v>-34519</v>
      </c>
      <c r="M66" s="281">
        <v>-33831</v>
      </c>
      <c r="N66" s="65"/>
      <c r="O66" s="154">
        <v>-28330</v>
      </c>
      <c r="P66" s="154">
        <v>-28330</v>
      </c>
      <c r="Q66" s="154">
        <v>-28330</v>
      </c>
      <c r="R66" s="155">
        <v>-18129</v>
      </c>
      <c r="T66" s="197">
        <v>-20521</v>
      </c>
      <c r="U66" s="197">
        <v>-20521</v>
      </c>
      <c r="V66" s="197">
        <v>-14776</v>
      </c>
      <c r="X66" s="281">
        <f>VLOOKUP(A66,'Change in Proportion Calc'!$A$5:$H$316,8,FALSE)+I66+O66+T66</f>
        <v>-92117</v>
      </c>
      <c r="Z66" s="280">
        <f t="shared" si="0"/>
        <v>0</v>
      </c>
      <c r="AA66" s="280">
        <f t="shared" si="1"/>
        <v>291033</v>
      </c>
      <c r="AC66" s="280">
        <f>VLOOKUP(A66,'OPEB Amounts_Report'!$A$10:$F$321,6,FALSE)</f>
        <v>0</v>
      </c>
      <c r="AD66" s="281">
        <f t="shared" si="2"/>
        <v>0</v>
      </c>
    </row>
    <row r="67" spans="1:30">
      <c r="A67" s="62">
        <v>2620</v>
      </c>
      <c r="B67" s="66" t="s">
        <v>59</v>
      </c>
      <c r="C67" s="90">
        <f>VLOOKUP(A67,'Change in Proportion Calc'!$A$5:$P$316,12,FALSE)</f>
        <v>-125777</v>
      </c>
      <c r="D67" s="90">
        <f>VLOOKUP(A67,'Change in Proportion Calc'!$A$5:$P$316,13,FALSE)</f>
        <v>-125777</v>
      </c>
      <c r="E67" s="90">
        <f>VLOOKUP(A67,'Change in Proportion Calc'!$A$5:$P$316,13,FALSE)</f>
        <v>-125777</v>
      </c>
      <c r="F67" s="90">
        <f>VLOOKUP(A67,'Change in Proportion Calc'!$A$5:$P$316,13,FALSE)</f>
        <v>-125777</v>
      </c>
      <c r="G67" s="90">
        <f>VLOOKUP(A67,'Change in Proportion Calc'!$A$5:$P$316,16,FALSE)</f>
        <v>-123259</v>
      </c>
      <c r="H67" s="255"/>
      <c r="I67" s="280">
        <v>140224</v>
      </c>
      <c r="J67" s="280">
        <v>140224</v>
      </c>
      <c r="K67" s="280">
        <v>140224</v>
      </c>
      <c r="L67" s="280">
        <v>140224</v>
      </c>
      <c r="M67" s="281">
        <v>137421</v>
      </c>
      <c r="N67" s="65"/>
      <c r="O67" s="154">
        <v>-90616</v>
      </c>
      <c r="P67" s="154">
        <v>-90616</v>
      </c>
      <c r="Q67" s="154">
        <v>-90616</v>
      </c>
      <c r="R67" s="155">
        <v>-57994</v>
      </c>
      <c r="T67" s="197">
        <v>-356912</v>
      </c>
      <c r="U67" s="197">
        <v>-356912</v>
      </c>
      <c r="V67" s="197">
        <v>-256976</v>
      </c>
      <c r="X67" s="281">
        <f>VLOOKUP(A67,'Change in Proportion Calc'!$A$5:$H$316,8,FALSE)+I67+O67+T67</f>
        <v>-433081</v>
      </c>
      <c r="Z67" s="280">
        <f t="shared" si="0"/>
        <v>558093</v>
      </c>
      <c r="AA67" s="280">
        <f t="shared" si="1"/>
        <v>1479481</v>
      </c>
      <c r="AC67" s="280">
        <f>VLOOKUP(A67,'OPEB Amounts_Report'!$A$10:$F$321,6,FALSE)</f>
        <v>558093</v>
      </c>
      <c r="AD67" s="281">
        <f t="shared" si="2"/>
        <v>0</v>
      </c>
    </row>
    <row r="68" spans="1:30">
      <c r="A68" s="64">
        <v>2630</v>
      </c>
      <c r="B68" s="65" t="s">
        <v>60</v>
      </c>
      <c r="C68" s="90">
        <f>VLOOKUP(A68,'Change in Proportion Calc'!$A$5:$P$316,12,FALSE)</f>
        <v>-158820</v>
      </c>
      <c r="D68" s="90">
        <f>VLOOKUP(A68,'Change in Proportion Calc'!$A$5:$P$316,13,FALSE)</f>
        <v>-158820</v>
      </c>
      <c r="E68" s="90">
        <f>VLOOKUP(A68,'Change in Proportion Calc'!$A$5:$P$316,13,FALSE)</f>
        <v>-158820</v>
      </c>
      <c r="F68" s="90">
        <f>VLOOKUP(A68,'Change in Proportion Calc'!$A$5:$P$316,13,FALSE)</f>
        <v>-158820</v>
      </c>
      <c r="G68" s="90">
        <f>VLOOKUP(A68,'Change in Proportion Calc'!$A$5:$P$316,16,FALSE)</f>
        <v>-155646</v>
      </c>
      <c r="H68" s="255"/>
      <c r="I68" s="280">
        <v>-206000</v>
      </c>
      <c r="J68" s="280">
        <v>-206000</v>
      </c>
      <c r="K68" s="280">
        <v>-206000</v>
      </c>
      <c r="L68" s="280">
        <v>-206000</v>
      </c>
      <c r="M68" s="281">
        <v>-201880</v>
      </c>
      <c r="N68" s="65"/>
      <c r="O68" s="154">
        <v>150574</v>
      </c>
      <c r="P68" s="154">
        <v>150574</v>
      </c>
      <c r="Q68" s="154">
        <v>150574</v>
      </c>
      <c r="R68" s="155">
        <v>96367</v>
      </c>
      <c r="T68" s="197">
        <v>241682</v>
      </c>
      <c r="U68" s="197">
        <v>241682</v>
      </c>
      <c r="V68" s="197">
        <v>174013</v>
      </c>
      <c r="X68" s="281">
        <f>VLOOKUP(A68,'Change in Proportion Calc'!$A$5:$H$316,8,FALSE)+I68+O68+T68</f>
        <v>27436</v>
      </c>
      <c r="Z68" s="280">
        <f t="shared" si="0"/>
        <v>813210</v>
      </c>
      <c r="AA68" s="280">
        <f t="shared" si="1"/>
        <v>1610806</v>
      </c>
      <c r="AC68" s="280">
        <f>VLOOKUP(A68,'OPEB Amounts_Report'!$A$10:$F$321,6,FALSE)</f>
        <v>813210</v>
      </c>
      <c r="AD68" s="281">
        <f t="shared" si="2"/>
        <v>0</v>
      </c>
    </row>
    <row r="69" spans="1:30">
      <c r="A69" s="62">
        <v>2690</v>
      </c>
      <c r="B69" s="66" t="s">
        <v>61</v>
      </c>
      <c r="C69" s="90">
        <f>VLOOKUP(A69,'Change in Proportion Calc'!$A$5:$P$316,12,FALSE)</f>
        <v>-985885</v>
      </c>
      <c r="D69" s="90">
        <f>VLOOKUP(A69,'Change in Proportion Calc'!$A$5:$P$316,13,FALSE)</f>
        <v>-985885</v>
      </c>
      <c r="E69" s="90">
        <f>VLOOKUP(A69,'Change in Proportion Calc'!$A$5:$P$316,13,FALSE)</f>
        <v>-985885</v>
      </c>
      <c r="F69" s="90">
        <f>VLOOKUP(A69,'Change in Proportion Calc'!$A$5:$P$316,13,FALSE)</f>
        <v>-985885</v>
      </c>
      <c r="G69" s="90">
        <f>VLOOKUP(A69,'Change in Proportion Calc'!$A$5:$P$316,16,FALSE)</f>
        <v>-966165</v>
      </c>
      <c r="H69" s="255"/>
      <c r="I69" s="280">
        <v>-759855</v>
      </c>
      <c r="J69" s="280">
        <v>-759855</v>
      </c>
      <c r="K69" s="280">
        <v>-759855</v>
      </c>
      <c r="L69" s="280">
        <v>-759855</v>
      </c>
      <c r="M69" s="281">
        <v>-744660</v>
      </c>
      <c r="N69" s="65"/>
      <c r="O69" s="154">
        <v>-723570</v>
      </c>
      <c r="P69" s="154">
        <v>-723570</v>
      </c>
      <c r="Q69" s="154">
        <v>-723570</v>
      </c>
      <c r="R69" s="155">
        <v>-463085</v>
      </c>
      <c r="T69" s="197">
        <v>699274</v>
      </c>
      <c r="U69" s="197">
        <v>699274</v>
      </c>
      <c r="V69" s="197">
        <v>503478</v>
      </c>
      <c r="X69" s="281">
        <f>VLOOKUP(A69,'Change in Proportion Calc'!$A$5:$H$316,8,FALSE)+I69+O69+T69</f>
        <v>-1770036</v>
      </c>
      <c r="Z69" s="280">
        <f t="shared" si="0"/>
        <v>1202752</v>
      </c>
      <c r="AA69" s="280">
        <f t="shared" si="1"/>
        <v>9844155</v>
      </c>
      <c r="AC69" s="280">
        <f>VLOOKUP(A69,'OPEB Amounts_Report'!$A$10:$F$321,6,FALSE)</f>
        <v>1202752</v>
      </c>
      <c r="AD69" s="281">
        <f t="shared" si="2"/>
        <v>0</v>
      </c>
    </row>
    <row r="70" spans="1:30">
      <c r="A70" s="64">
        <v>2710</v>
      </c>
      <c r="B70" s="65" t="s">
        <v>62</v>
      </c>
      <c r="C70" s="90">
        <f>VLOOKUP(A70,'Change in Proportion Calc'!$A$5:$P$316,12,FALSE)</f>
        <v>-25836</v>
      </c>
      <c r="D70" s="90">
        <f>VLOOKUP(A70,'Change in Proportion Calc'!$A$5:$P$316,13,FALSE)</f>
        <v>-25836</v>
      </c>
      <c r="E70" s="90">
        <f>VLOOKUP(A70,'Change in Proportion Calc'!$A$5:$P$316,13,FALSE)</f>
        <v>-25836</v>
      </c>
      <c r="F70" s="90">
        <f>VLOOKUP(A70,'Change in Proportion Calc'!$A$5:$P$316,13,FALSE)</f>
        <v>-25836</v>
      </c>
      <c r="G70" s="90">
        <f>VLOOKUP(A70,'Change in Proportion Calc'!$A$5:$P$316,16,FALSE)</f>
        <v>-25317</v>
      </c>
      <c r="H70" s="255"/>
      <c r="I70" s="280">
        <v>-44652</v>
      </c>
      <c r="J70" s="280">
        <v>-44652</v>
      </c>
      <c r="K70" s="280">
        <v>-44652</v>
      </c>
      <c r="L70" s="280">
        <v>-44652</v>
      </c>
      <c r="M70" s="281">
        <v>-43758</v>
      </c>
      <c r="N70" s="65"/>
      <c r="O70" s="154">
        <v>-30561</v>
      </c>
      <c r="P70" s="154">
        <v>-30561</v>
      </c>
      <c r="Q70" s="154">
        <v>-30561</v>
      </c>
      <c r="R70" s="155">
        <v>-19560</v>
      </c>
      <c r="T70" s="197">
        <v>9336</v>
      </c>
      <c r="U70" s="197">
        <v>9336</v>
      </c>
      <c r="V70" s="197">
        <v>6724</v>
      </c>
      <c r="X70" s="281">
        <f>VLOOKUP(A70,'Change in Proportion Calc'!$A$5:$H$316,8,FALSE)+I70+O70+T70</f>
        <v>-91713</v>
      </c>
      <c r="Z70" s="280">
        <f t="shared" si="0"/>
        <v>16060</v>
      </c>
      <c r="AA70" s="280">
        <f t="shared" si="1"/>
        <v>387057</v>
      </c>
      <c r="AC70" s="280">
        <f>VLOOKUP(A70,'OPEB Amounts_Report'!$A$10:$F$321,6,FALSE)</f>
        <v>16060</v>
      </c>
      <c r="AD70" s="281">
        <f t="shared" si="2"/>
        <v>0</v>
      </c>
    </row>
    <row r="71" spans="1:30">
      <c r="A71" s="62">
        <v>2730</v>
      </c>
      <c r="B71" s="66" t="s">
        <v>63</v>
      </c>
      <c r="C71" s="90">
        <f>VLOOKUP(A71,'Change in Proportion Calc'!$A$5:$P$316,12,FALSE)</f>
        <v>22839</v>
      </c>
      <c r="D71" s="90">
        <f>VLOOKUP(A71,'Change in Proportion Calc'!$A$5:$P$316,13,FALSE)</f>
        <v>22839</v>
      </c>
      <c r="E71" s="90">
        <f>VLOOKUP(A71,'Change in Proportion Calc'!$A$5:$P$316,13,FALSE)</f>
        <v>22839</v>
      </c>
      <c r="F71" s="90">
        <f>VLOOKUP(A71,'Change in Proportion Calc'!$A$5:$P$316,13,FALSE)</f>
        <v>22839</v>
      </c>
      <c r="G71" s="90">
        <f>VLOOKUP(A71,'Change in Proportion Calc'!$A$5:$P$316,16,FALSE)</f>
        <v>22382</v>
      </c>
      <c r="H71" s="255"/>
      <c r="I71" s="280">
        <v>-52809</v>
      </c>
      <c r="J71" s="280">
        <v>-52809</v>
      </c>
      <c r="K71" s="280">
        <v>-52809</v>
      </c>
      <c r="L71" s="280">
        <v>-52809</v>
      </c>
      <c r="M71" s="281">
        <v>-51755</v>
      </c>
      <c r="N71" s="65"/>
      <c r="O71" s="154">
        <v>-60734</v>
      </c>
      <c r="P71" s="154">
        <v>-60734</v>
      </c>
      <c r="Q71" s="154">
        <v>-60734</v>
      </c>
      <c r="R71" s="155">
        <v>-38870</v>
      </c>
      <c r="T71" s="197">
        <v>-15464</v>
      </c>
      <c r="U71" s="197">
        <v>-15464</v>
      </c>
      <c r="V71" s="197">
        <v>-11133</v>
      </c>
      <c r="X71" s="281">
        <f>VLOOKUP(A71,'Change in Proportion Calc'!$A$5:$H$316,8,FALSE)+I71+O71+T71</f>
        <v>-106168</v>
      </c>
      <c r="Z71" s="280">
        <f t="shared" si="0"/>
        <v>113738</v>
      </c>
      <c r="AA71" s="280">
        <f t="shared" si="1"/>
        <v>397117</v>
      </c>
      <c r="AC71" s="280">
        <f>VLOOKUP(A71,'OPEB Amounts_Report'!$A$10:$F$321,6,FALSE)</f>
        <v>113738</v>
      </c>
      <c r="AD71" s="281">
        <f t="shared" si="2"/>
        <v>0</v>
      </c>
    </row>
    <row r="72" spans="1:30">
      <c r="A72" s="64">
        <v>2950</v>
      </c>
      <c r="B72" s="65" t="s">
        <v>64</v>
      </c>
      <c r="C72" s="90">
        <f>VLOOKUP(A72,'Change in Proportion Calc'!$A$5:$P$316,12,FALSE)</f>
        <v>26889</v>
      </c>
      <c r="D72" s="90">
        <f>VLOOKUP(A72,'Change in Proportion Calc'!$A$5:$P$316,13,FALSE)</f>
        <v>26889</v>
      </c>
      <c r="E72" s="90">
        <f>VLOOKUP(A72,'Change in Proportion Calc'!$A$5:$P$316,13,FALSE)</f>
        <v>26889</v>
      </c>
      <c r="F72" s="90">
        <f>VLOOKUP(A72,'Change in Proportion Calc'!$A$5:$P$316,13,FALSE)</f>
        <v>26889</v>
      </c>
      <c r="G72" s="90">
        <f>VLOOKUP(A72,'Change in Proportion Calc'!$A$5:$P$316,16,FALSE)</f>
        <v>26349</v>
      </c>
      <c r="H72" s="255"/>
      <c r="I72" s="280">
        <v>-76509</v>
      </c>
      <c r="J72" s="280">
        <v>-76509</v>
      </c>
      <c r="K72" s="280">
        <v>-76509</v>
      </c>
      <c r="L72" s="280">
        <v>-76509</v>
      </c>
      <c r="M72" s="281">
        <v>-74981</v>
      </c>
      <c r="N72" s="65"/>
      <c r="O72" s="154">
        <v>21927</v>
      </c>
      <c r="P72" s="154">
        <v>21927</v>
      </c>
      <c r="Q72" s="154">
        <v>21927</v>
      </c>
      <c r="R72" s="155">
        <v>14031</v>
      </c>
      <c r="T72" s="197">
        <v>150845</v>
      </c>
      <c r="U72" s="197">
        <v>150845</v>
      </c>
      <c r="V72" s="197">
        <v>108607</v>
      </c>
      <c r="X72" s="281">
        <f>VLOOKUP(A72,'Change in Proportion Calc'!$A$5:$H$316,8,FALSE)+I72+O72+T72</f>
        <v>123151</v>
      </c>
      <c r="Z72" s="280">
        <f t="shared" si="0"/>
        <v>451242</v>
      </c>
      <c r="AA72" s="280">
        <f t="shared" si="1"/>
        <v>304508</v>
      </c>
      <c r="AC72" s="280">
        <f>VLOOKUP(A72,'OPEB Amounts_Report'!$A$10:$F$321,6,FALSE)</f>
        <v>451242</v>
      </c>
      <c r="AD72" s="281">
        <f t="shared" si="2"/>
        <v>0</v>
      </c>
    </row>
    <row r="73" spans="1:30">
      <c r="A73" s="62">
        <v>2760</v>
      </c>
      <c r="B73" s="66" t="s">
        <v>65</v>
      </c>
      <c r="C73" s="90">
        <f>VLOOKUP(A73,'Change in Proportion Calc'!$A$5:$P$316,12,FALSE)</f>
        <v>45840</v>
      </c>
      <c r="D73" s="90">
        <f>VLOOKUP(A73,'Change in Proportion Calc'!$A$5:$P$316,13,FALSE)</f>
        <v>45840</v>
      </c>
      <c r="E73" s="90">
        <f>VLOOKUP(A73,'Change in Proportion Calc'!$A$5:$P$316,13,FALSE)</f>
        <v>45840</v>
      </c>
      <c r="F73" s="90">
        <f>VLOOKUP(A73,'Change in Proportion Calc'!$A$5:$P$316,13,FALSE)</f>
        <v>45840</v>
      </c>
      <c r="G73" s="90">
        <f>VLOOKUP(A73,'Change in Proportion Calc'!$A$5:$P$316,16,FALSE)</f>
        <v>44923</v>
      </c>
      <c r="H73" s="255"/>
      <c r="I73" s="280">
        <v>7814</v>
      </c>
      <c r="J73" s="280">
        <v>7814</v>
      </c>
      <c r="K73" s="280">
        <v>7814</v>
      </c>
      <c r="L73" s="280">
        <v>7814</v>
      </c>
      <c r="M73" s="281">
        <v>7658</v>
      </c>
      <c r="N73" s="65"/>
      <c r="O73" s="154">
        <v>-50256</v>
      </c>
      <c r="P73" s="154">
        <v>-50256</v>
      </c>
      <c r="Q73" s="154">
        <v>-50256</v>
      </c>
      <c r="R73" s="155">
        <v>-32164</v>
      </c>
      <c r="T73" s="197">
        <v>12060</v>
      </c>
      <c r="U73" s="197">
        <v>12060</v>
      </c>
      <c r="V73" s="197">
        <v>8682</v>
      </c>
      <c r="X73" s="281">
        <f>VLOOKUP(A73,'Change in Proportion Calc'!$A$5:$H$316,8,FALSE)+I73+O73+T73</f>
        <v>15458</v>
      </c>
      <c r="Z73" s="280">
        <f t="shared" ref="Z73:Z136" si="3">IF(SUM(C73:G73)&gt;0,SUM(C73:G73),0)+IF(SUM(J73:M73)&gt;0,SUM(J73:M73),0)+IF(SUM(P73:R73)&gt;0,SUM(P73:R73),0)+IF(SUM(U73:V73)&gt;0,SUM(U73:V73),0)</f>
        <v>280125</v>
      </c>
      <c r="AA73" s="280">
        <f t="shared" ref="AA73:AA136" si="4">IF(SUM(C73:G73)&lt;0,-SUM(C73:G73),0)+IF(SUM(J73:M73)&lt;0,-SUM(J73:M73),0)+IF(SUM(P73:R73)&lt;0,-SUM(P73:R73),0)+IF(SUM(U73:V73)&lt;0,-SUM(U73:V73),0)</f>
        <v>132676</v>
      </c>
      <c r="AC73" s="280">
        <f>VLOOKUP(A73,'OPEB Amounts_Report'!$A$10:$F$321,6,FALSE)</f>
        <v>280125</v>
      </c>
      <c r="AD73" s="281">
        <f t="shared" ref="AD73:AD136" si="5">+Z73-AC73</f>
        <v>0</v>
      </c>
    </row>
    <row r="74" spans="1:30">
      <c r="A74" s="64">
        <v>2780</v>
      </c>
      <c r="B74" s="65" t="s">
        <v>66</v>
      </c>
      <c r="C74" s="90">
        <f>VLOOKUP(A74,'Change in Proportion Calc'!$A$5:$P$316,12,FALSE)</f>
        <v>2754</v>
      </c>
      <c r="D74" s="90">
        <f>VLOOKUP(A74,'Change in Proportion Calc'!$A$5:$P$316,13,FALSE)</f>
        <v>2754</v>
      </c>
      <c r="E74" s="90">
        <f>VLOOKUP(A74,'Change in Proportion Calc'!$A$5:$P$316,13,FALSE)</f>
        <v>2754</v>
      </c>
      <c r="F74" s="90">
        <f>VLOOKUP(A74,'Change in Proportion Calc'!$A$5:$P$316,13,FALSE)</f>
        <v>2754</v>
      </c>
      <c r="G74" s="90">
        <f>VLOOKUP(A74,'Change in Proportion Calc'!$A$5:$P$316,16,FALSE)</f>
        <v>2697</v>
      </c>
      <c r="H74" s="255"/>
      <c r="I74" s="280">
        <v>-9446</v>
      </c>
      <c r="J74" s="280">
        <v>-9446</v>
      </c>
      <c r="K74" s="280">
        <v>-9446</v>
      </c>
      <c r="L74" s="280">
        <v>-9446</v>
      </c>
      <c r="M74" s="281">
        <v>-9255</v>
      </c>
      <c r="N74" s="65"/>
      <c r="O74" s="154">
        <v>6306</v>
      </c>
      <c r="P74" s="154">
        <v>6306</v>
      </c>
      <c r="Q74" s="154">
        <v>6306</v>
      </c>
      <c r="R74" s="155">
        <v>4037</v>
      </c>
      <c r="T74" s="197">
        <v>583</v>
      </c>
      <c r="U74" s="197">
        <v>583</v>
      </c>
      <c r="V74" s="197">
        <v>422</v>
      </c>
      <c r="X74" s="281">
        <f>VLOOKUP(A74,'Change in Proportion Calc'!$A$5:$H$316,8,FALSE)+I74+O74+T74</f>
        <v>197</v>
      </c>
      <c r="Z74" s="280">
        <f t="shared" si="3"/>
        <v>31367</v>
      </c>
      <c r="AA74" s="280">
        <f t="shared" si="4"/>
        <v>37593</v>
      </c>
      <c r="AC74" s="280">
        <f>VLOOKUP(A74,'OPEB Amounts_Report'!$A$10:$F$321,6,FALSE)</f>
        <v>31367</v>
      </c>
      <c r="AD74" s="281">
        <f t="shared" si="5"/>
        <v>0</v>
      </c>
    </row>
    <row r="75" spans="1:30">
      <c r="A75" s="62">
        <v>2810</v>
      </c>
      <c r="B75" s="66" t="s">
        <v>67</v>
      </c>
      <c r="C75" s="90">
        <f>VLOOKUP(A75,'Change in Proportion Calc'!$A$5:$P$316,12,FALSE)</f>
        <v>-131851</v>
      </c>
      <c r="D75" s="90">
        <f>VLOOKUP(A75,'Change in Proportion Calc'!$A$5:$P$316,13,FALSE)</f>
        <v>-131851</v>
      </c>
      <c r="E75" s="90">
        <f>VLOOKUP(A75,'Change in Proportion Calc'!$A$5:$P$316,13,FALSE)</f>
        <v>-131851</v>
      </c>
      <c r="F75" s="90">
        <f>VLOOKUP(A75,'Change in Proportion Calc'!$A$5:$P$316,13,FALSE)</f>
        <v>-131851</v>
      </c>
      <c r="G75" s="90">
        <f>VLOOKUP(A75,'Change in Proportion Calc'!$A$5:$P$316,16,FALSE)</f>
        <v>-129213</v>
      </c>
      <c r="H75" s="255"/>
      <c r="I75" s="280">
        <v>-42334</v>
      </c>
      <c r="J75" s="280">
        <v>-42334</v>
      </c>
      <c r="K75" s="280">
        <v>-42334</v>
      </c>
      <c r="L75" s="280">
        <v>-42334</v>
      </c>
      <c r="M75" s="281">
        <v>-41485</v>
      </c>
      <c r="N75" s="65"/>
      <c r="O75" s="154">
        <v>-137380</v>
      </c>
      <c r="P75" s="154">
        <v>-137380</v>
      </c>
      <c r="Q75" s="154">
        <v>-137380</v>
      </c>
      <c r="R75" s="155">
        <v>-87921</v>
      </c>
      <c r="T75" s="197">
        <v>141119</v>
      </c>
      <c r="U75" s="197">
        <v>141119</v>
      </c>
      <c r="V75" s="197">
        <v>101607</v>
      </c>
      <c r="X75" s="281">
        <f>VLOOKUP(A75,'Change in Proportion Calc'!$A$5:$H$316,8,FALSE)+I75+O75+T75</f>
        <v>-170446</v>
      </c>
      <c r="Z75" s="280">
        <f t="shared" si="3"/>
        <v>242726</v>
      </c>
      <c r="AA75" s="280">
        <f t="shared" si="4"/>
        <v>1187785</v>
      </c>
      <c r="AC75" s="280">
        <f>VLOOKUP(A75,'OPEB Amounts_Report'!$A$10:$F$321,6,FALSE)</f>
        <v>242726</v>
      </c>
      <c r="AD75" s="281">
        <f t="shared" si="5"/>
        <v>0</v>
      </c>
    </row>
    <row r="76" spans="1:30">
      <c r="A76" s="64">
        <v>18056</v>
      </c>
      <c r="B76" s="65" t="s">
        <v>68</v>
      </c>
      <c r="C76" s="90">
        <f>VLOOKUP(A76,'Change in Proportion Calc'!$A$5:$P$316,12,FALSE)</f>
        <v>-63739</v>
      </c>
      <c r="D76" s="90">
        <f>VLOOKUP(A76,'Change in Proportion Calc'!$A$5:$P$316,13,FALSE)</f>
        <v>-63739</v>
      </c>
      <c r="E76" s="90">
        <f>VLOOKUP(A76,'Change in Proportion Calc'!$A$5:$P$316,13,FALSE)</f>
        <v>-63739</v>
      </c>
      <c r="F76" s="90">
        <f>VLOOKUP(A76,'Change in Proportion Calc'!$A$5:$P$316,13,FALSE)</f>
        <v>-63739</v>
      </c>
      <c r="G76" s="90">
        <f>VLOOKUP(A76,'Change in Proportion Calc'!$A$5:$P$316,16,FALSE)</f>
        <v>-62462</v>
      </c>
      <c r="H76" s="255"/>
      <c r="I76" s="280">
        <v>56588</v>
      </c>
      <c r="J76" s="280">
        <v>56588</v>
      </c>
      <c r="K76" s="280">
        <v>56588</v>
      </c>
      <c r="L76" s="280">
        <v>56588</v>
      </c>
      <c r="M76" s="281">
        <v>55455</v>
      </c>
      <c r="N76" s="65"/>
      <c r="O76" s="154">
        <v>-54428</v>
      </c>
      <c r="P76" s="154">
        <v>-54428</v>
      </c>
      <c r="Q76" s="154">
        <v>-54428</v>
      </c>
      <c r="R76" s="155">
        <v>-34833</v>
      </c>
      <c r="T76" s="197">
        <v>169324</v>
      </c>
      <c r="U76" s="197">
        <v>169324</v>
      </c>
      <c r="V76" s="197">
        <v>121911</v>
      </c>
      <c r="X76" s="281">
        <f>VLOOKUP(A76,'Change in Proportion Calc'!$A$5:$H$316,8,FALSE)+I76+O76+T76</f>
        <v>107745</v>
      </c>
      <c r="Z76" s="280">
        <f t="shared" si="3"/>
        <v>516454</v>
      </c>
      <c r="AA76" s="280">
        <f t="shared" si="4"/>
        <v>461107</v>
      </c>
      <c r="AC76" s="280">
        <f>VLOOKUP(A76,'OPEB Amounts_Report'!$A$10:$F$321,6,FALSE)</f>
        <v>516454</v>
      </c>
      <c r="AD76" s="281">
        <f t="shared" si="5"/>
        <v>0</v>
      </c>
    </row>
    <row r="77" spans="1:30">
      <c r="A77" s="62">
        <v>15047</v>
      </c>
      <c r="B77" s="66" t="s">
        <v>69</v>
      </c>
      <c r="C77" s="90">
        <f>VLOOKUP(A77,'Change in Proportion Calc'!$A$5:$P$316,12,FALSE)</f>
        <v>41871</v>
      </c>
      <c r="D77" s="90">
        <f>VLOOKUP(A77,'Change in Proportion Calc'!$A$5:$P$316,13,FALSE)</f>
        <v>41871</v>
      </c>
      <c r="E77" s="90">
        <f>VLOOKUP(A77,'Change in Proportion Calc'!$A$5:$P$316,13,FALSE)</f>
        <v>41871</v>
      </c>
      <c r="F77" s="90">
        <f>VLOOKUP(A77,'Change in Proportion Calc'!$A$5:$P$316,13,FALSE)</f>
        <v>41871</v>
      </c>
      <c r="G77" s="90">
        <f>VLOOKUP(A77,'Change in Proportion Calc'!$A$5:$P$316,16,FALSE)</f>
        <v>41036</v>
      </c>
      <c r="H77" s="255"/>
      <c r="I77" s="280">
        <v>59421</v>
      </c>
      <c r="J77" s="280">
        <v>59421</v>
      </c>
      <c r="K77" s="280">
        <v>59421</v>
      </c>
      <c r="L77" s="280">
        <v>59421</v>
      </c>
      <c r="M77" s="281">
        <v>58235</v>
      </c>
      <c r="N77" s="65"/>
      <c r="O77" s="154">
        <v>-32598</v>
      </c>
      <c r="P77" s="154">
        <v>-32598</v>
      </c>
      <c r="Q77" s="154">
        <v>-32598</v>
      </c>
      <c r="R77" s="155">
        <v>-20865</v>
      </c>
      <c r="T77" s="197">
        <v>11185</v>
      </c>
      <c r="U77" s="197">
        <v>11185</v>
      </c>
      <c r="V77" s="197">
        <v>8051</v>
      </c>
      <c r="X77" s="281">
        <f>VLOOKUP(A77,'Change in Proportion Calc'!$A$5:$H$316,8,FALSE)+I77+O77+T77</f>
        <v>79880</v>
      </c>
      <c r="Z77" s="280">
        <f t="shared" si="3"/>
        <v>464254</v>
      </c>
      <c r="AA77" s="280">
        <f t="shared" si="4"/>
        <v>86061</v>
      </c>
      <c r="AC77" s="280">
        <f>VLOOKUP(A77,'OPEB Amounts_Report'!$A$10:$F$321,6,FALSE)</f>
        <v>464254</v>
      </c>
      <c r="AD77" s="281">
        <f t="shared" si="5"/>
        <v>0</v>
      </c>
    </row>
    <row r="78" spans="1:30">
      <c r="A78" s="64">
        <v>5012</v>
      </c>
      <c r="B78" s="65" t="s">
        <v>70</v>
      </c>
      <c r="C78" s="90">
        <f>VLOOKUP(A78,'Change in Proportion Calc'!$A$5:$P$316,12,FALSE)</f>
        <v>313267</v>
      </c>
      <c r="D78" s="90">
        <f>VLOOKUP(A78,'Change in Proportion Calc'!$A$5:$P$316,13,FALSE)</f>
        <v>313267</v>
      </c>
      <c r="E78" s="90">
        <f>VLOOKUP(A78,'Change in Proportion Calc'!$A$5:$P$316,13,FALSE)</f>
        <v>313267</v>
      </c>
      <c r="F78" s="90">
        <f>VLOOKUP(A78,'Change in Proportion Calc'!$A$5:$P$316,13,FALSE)</f>
        <v>313267</v>
      </c>
      <c r="G78" s="90">
        <f>VLOOKUP(A78,'Change in Proportion Calc'!$A$5:$P$316,16,FALSE)</f>
        <v>307003</v>
      </c>
      <c r="H78" s="255"/>
      <c r="I78" s="280">
        <v>196468</v>
      </c>
      <c r="J78" s="280">
        <v>196468</v>
      </c>
      <c r="K78" s="280">
        <v>196468</v>
      </c>
      <c r="L78" s="280">
        <v>196468</v>
      </c>
      <c r="M78" s="281">
        <v>192541</v>
      </c>
      <c r="N78" s="65"/>
      <c r="O78" s="154">
        <v>-177933</v>
      </c>
      <c r="P78" s="154">
        <v>-177933</v>
      </c>
      <c r="Q78" s="154">
        <v>-177933</v>
      </c>
      <c r="R78" s="155">
        <v>-113879</v>
      </c>
      <c r="T78" s="197">
        <v>289143</v>
      </c>
      <c r="U78" s="197">
        <v>289143</v>
      </c>
      <c r="V78" s="197">
        <v>208185</v>
      </c>
      <c r="X78" s="281">
        <f>VLOOKUP(A78,'Change in Proportion Calc'!$A$5:$H$316,8,FALSE)+I78+O78+T78</f>
        <v>620945</v>
      </c>
      <c r="Z78" s="280">
        <f t="shared" si="3"/>
        <v>2839344</v>
      </c>
      <c r="AA78" s="280">
        <f t="shared" si="4"/>
        <v>469745</v>
      </c>
      <c r="AC78" s="280">
        <f>VLOOKUP(A78,'OPEB Amounts_Report'!$A$10:$F$321,6,FALSE)</f>
        <v>2839344</v>
      </c>
      <c r="AD78" s="281">
        <f t="shared" si="5"/>
        <v>0</v>
      </c>
    </row>
    <row r="79" spans="1:30">
      <c r="A79" s="62">
        <v>8024</v>
      </c>
      <c r="B79" s="66" t="s">
        <v>71</v>
      </c>
      <c r="C79" s="90">
        <f>VLOOKUP(A79,'Change in Proportion Calc'!$A$5:$P$316,12,FALSE)</f>
        <v>-38308</v>
      </c>
      <c r="D79" s="90">
        <f>VLOOKUP(A79,'Change in Proportion Calc'!$A$5:$P$316,13,FALSE)</f>
        <v>-38308</v>
      </c>
      <c r="E79" s="90">
        <f>VLOOKUP(A79,'Change in Proportion Calc'!$A$5:$P$316,13,FALSE)</f>
        <v>-38308</v>
      </c>
      <c r="F79" s="90">
        <f>VLOOKUP(A79,'Change in Proportion Calc'!$A$5:$P$316,13,FALSE)</f>
        <v>-38308</v>
      </c>
      <c r="G79" s="90">
        <f>VLOOKUP(A79,'Change in Proportion Calc'!$A$5:$P$316,16,FALSE)</f>
        <v>-37542</v>
      </c>
      <c r="H79" s="255"/>
      <c r="I79" s="280">
        <v>-148725</v>
      </c>
      <c r="J79" s="280">
        <v>-148725</v>
      </c>
      <c r="K79" s="280">
        <v>-148725</v>
      </c>
      <c r="L79" s="280">
        <v>-148725</v>
      </c>
      <c r="M79" s="281">
        <v>-145752</v>
      </c>
      <c r="N79" s="65"/>
      <c r="O79" s="154">
        <v>376144</v>
      </c>
      <c r="P79" s="154">
        <v>376144</v>
      </c>
      <c r="Q79" s="154">
        <v>376144</v>
      </c>
      <c r="R79" s="155">
        <v>240732</v>
      </c>
      <c r="T79" s="197">
        <v>103383</v>
      </c>
      <c r="U79" s="197">
        <v>103383</v>
      </c>
      <c r="V79" s="197">
        <v>74438</v>
      </c>
      <c r="X79" s="281">
        <f>VLOOKUP(A79,'Change in Proportion Calc'!$A$5:$H$316,8,FALSE)+I79+O79+T79</f>
        <v>292494</v>
      </c>
      <c r="Z79" s="280">
        <f t="shared" si="3"/>
        <v>1170841</v>
      </c>
      <c r="AA79" s="280">
        <f t="shared" si="4"/>
        <v>782701</v>
      </c>
      <c r="AC79" s="280">
        <f>VLOOKUP(A79,'OPEB Amounts_Report'!$A$10:$F$321,6,FALSE)</f>
        <v>1170841</v>
      </c>
      <c r="AD79" s="281">
        <f t="shared" si="5"/>
        <v>0</v>
      </c>
    </row>
    <row r="80" spans="1:30">
      <c r="A80" s="64">
        <v>3050</v>
      </c>
      <c r="B80" s="65" t="s">
        <v>72</v>
      </c>
      <c r="C80" s="90">
        <f>VLOOKUP(A80,'Change in Proportion Calc'!$A$5:$P$316,12,FALSE)</f>
        <v>10691</v>
      </c>
      <c r="D80" s="90">
        <f>VLOOKUP(A80,'Change in Proportion Calc'!$A$5:$P$316,13,FALSE)</f>
        <v>10691</v>
      </c>
      <c r="E80" s="90">
        <f>VLOOKUP(A80,'Change in Proportion Calc'!$A$5:$P$316,13,FALSE)</f>
        <v>10691</v>
      </c>
      <c r="F80" s="90">
        <f>VLOOKUP(A80,'Change in Proportion Calc'!$A$5:$P$316,13,FALSE)</f>
        <v>10691</v>
      </c>
      <c r="G80" s="90">
        <f>VLOOKUP(A80,'Change in Proportion Calc'!$A$5:$P$316,16,FALSE)</f>
        <v>10475</v>
      </c>
      <c r="H80" s="255"/>
      <c r="I80" s="280">
        <v>-27135</v>
      </c>
      <c r="J80" s="280">
        <v>-27135</v>
      </c>
      <c r="K80" s="280">
        <v>-27135</v>
      </c>
      <c r="L80" s="280">
        <v>-27135</v>
      </c>
      <c r="M80" s="281">
        <v>-26590</v>
      </c>
      <c r="N80" s="65"/>
      <c r="O80" s="154">
        <v>71212</v>
      </c>
      <c r="P80" s="154">
        <v>71212</v>
      </c>
      <c r="Q80" s="154">
        <v>71212</v>
      </c>
      <c r="R80" s="155">
        <v>45577</v>
      </c>
      <c r="T80" s="197">
        <v>-21494</v>
      </c>
      <c r="U80" s="197">
        <v>-21494</v>
      </c>
      <c r="V80" s="197">
        <v>-15474</v>
      </c>
      <c r="X80" s="281">
        <f>VLOOKUP(A80,'Change in Proportion Calc'!$A$5:$H$316,8,FALSE)+I80+O80+T80</f>
        <v>33274</v>
      </c>
      <c r="Z80" s="280">
        <f t="shared" si="3"/>
        <v>241240</v>
      </c>
      <c r="AA80" s="280">
        <f t="shared" si="4"/>
        <v>144963</v>
      </c>
      <c r="AC80" s="280">
        <f>VLOOKUP(A80,'OPEB Amounts_Report'!$A$10:$F$321,6,FALSE)</f>
        <v>241240</v>
      </c>
      <c r="AD80" s="281">
        <f t="shared" si="5"/>
        <v>0</v>
      </c>
    </row>
    <row r="81" spans="1:30">
      <c r="A81" s="62">
        <v>2421</v>
      </c>
      <c r="B81" s="66" t="s">
        <v>73</v>
      </c>
      <c r="C81" s="90">
        <f>VLOOKUP(A81,'Change in Proportion Calc'!$A$5:$P$316,12,FALSE)</f>
        <v>5912</v>
      </c>
      <c r="D81" s="90">
        <f>VLOOKUP(A81,'Change in Proportion Calc'!$A$5:$P$316,13,FALSE)</f>
        <v>5912</v>
      </c>
      <c r="E81" s="90">
        <f>VLOOKUP(A81,'Change in Proportion Calc'!$A$5:$P$316,13,FALSE)</f>
        <v>5912</v>
      </c>
      <c r="F81" s="90">
        <f>VLOOKUP(A81,'Change in Proportion Calc'!$A$5:$P$316,13,FALSE)</f>
        <v>5912</v>
      </c>
      <c r="G81" s="90">
        <f>VLOOKUP(A81,'Change in Proportion Calc'!$A$5:$P$316,16,FALSE)</f>
        <v>5795</v>
      </c>
      <c r="H81" s="255"/>
      <c r="I81" s="280">
        <v>-8587</v>
      </c>
      <c r="J81" s="280">
        <v>-8587</v>
      </c>
      <c r="K81" s="280">
        <v>-8587</v>
      </c>
      <c r="L81" s="280">
        <v>-8587</v>
      </c>
      <c r="M81" s="281">
        <v>-8415</v>
      </c>
      <c r="N81" s="65"/>
      <c r="O81" s="154">
        <v>-3493</v>
      </c>
      <c r="P81" s="154">
        <v>-3493</v>
      </c>
      <c r="Q81" s="154">
        <v>-3493</v>
      </c>
      <c r="R81" s="155">
        <v>-2234</v>
      </c>
      <c r="T81" s="197">
        <v>-21688</v>
      </c>
      <c r="U81" s="197">
        <v>-21688</v>
      </c>
      <c r="V81" s="197">
        <v>-15616</v>
      </c>
      <c r="X81" s="281">
        <f>VLOOKUP(A81,'Change in Proportion Calc'!$A$5:$H$316,8,FALSE)+I81+O81+T81</f>
        <v>-27856</v>
      </c>
      <c r="Z81" s="280">
        <f t="shared" si="3"/>
        <v>29443</v>
      </c>
      <c r="AA81" s="280">
        <f t="shared" si="4"/>
        <v>80700</v>
      </c>
      <c r="AC81" s="280">
        <f>VLOOKUP(A81,'OPEB Amounts_Report'!$A$10:$F$321,6,FALSE)</f>
        <v>29443</v>
      </c>
      <c r="AD81" s="281">
        <f t="shared" si="5"/>
        <v>0</v>
      </c>
    </row>
    <row r="82" spans="1:30">
      <c r="A82" s="64">
        <v>26079</v>
      </c>
      <c r="B82" s="65" t="s">
        <v>74</v>
      </c>
      <c r="C82" s="90">
        <f>VLOOKUP(A82,'Change in Proportion Calc'!$A$5:$P$316,12,FALSE)</f>
        <v>3483</v>
      </c>
      <c r="D82" s="90">
        <f>VLOOKUP(A82,'Change in Proportion Calc'!$A$5:$P$316,13,FALSE)</f>
        <v>3483</v>
      </c>
      <c r="E82" s="90">
        <f>VLOOKUP(A82,'Change in Proportion Calc'!$A$5:$P$316,13,FALSE)</f>
        <v>3483</v>
      </c>
      <c r="F82" s="90">
        <f>VLOOKUP(A82,'Change in Proportion Calc'!$A$5:$P$316,13,FALSE)</f>
        <v>3483</v>
      </c>
      <c r="G82" s="90">
        <f>VLOOKUP(A82,'Change in Proportion Calc'!$A$5:$P$316,16,FALSE)</f>
        <v>3411</v>
      </c>
      <c r="H82" s="255"/>
      <c r="I82" s="280">
        <v>-2662</v>
      </c>
      <c r="J82" s="280">
        <v>-2662</v>
      </c>
      <c r="K82" s="280">
        <v>-2662</v>
      </c>
      <c r="L82" s="280">
        <v>-2662</v>
      </c>
      <c r="M82" s="281">
        <v>-2608</v>
      </c>
      <c r="N82" s="65"/>
      <c r="O82" s="154">
        <v>-23479</v>
      </c>
      <c r="P82" s="154">
        <v>-23479</v>
      </c>
      <c r="Q82" s="154">
        <v>-23479</v>
      </c>
      <c r="R82" s="155">
        <v>-15025</v>
      </c>
      <c r="T82" s="197">
        <v>3696</v>
      </c>
      <c r="U82" s="197">
        <v>3696</v>
      </c>
      <c r="V82" s="197">
        <v>2660</v>
      </c>
      <c r="X82" s="281">
        <f>VLOOKUP(A82,'Change in Proportion Calc'!$A$5:$H$316,8,FALSE)+I82+O82+T82</f>
        <v>-18962</v>
      </c>
      <c r="Z82" s="280">
        <f t="shared" si="3"/>
        <v>23699</v>
      </c>
      <c r="AA82" s="280">
        <f t="shared" si="4"/>
        <v>72577</v>
      </c>
      <c r="AC82" s="280">
        <f>VLOOKUP(A82,'OPEB Amounts_Report'!$A$10:$F$321,6,FALSE)</f>
        <v>23699</v>
      </c>
      <c r="AD82" s="281">
        <f t="shared" si="5"/>
        <v>0</v>
      </c>
    </row>
    <row r="83" spans="1:30">
      <c r="A83" s="62">
        <v>2363</v>
      </c>
      <c r="B83" s="66" t="s">
        <v>75</v>
      </c>
      <c r="C83" s="90">
        <f>VLOOKUP(A83,'Change in Proportion Calc'!$A$5:$P$316,12,FALSE)</f>
        <v>7370</v>
      </c>
      <c r="D83" s="90">
        <f>VLOOKUP(A83,'Change in Proportion Calc'!$A$5:$P$316,13,FALSE)</f>
        <v>7370</v>
      </c>
      <c r="E83" s="90">
        <f>VLOOKUP(A83,'Change in Proportion Calc'!$A$5:$P$316,13,FALSE)</f>
        <v>7370</v>
      </c>
      <c r="F83" s="90">
        <f>VLOOKUP(A83,'Change in Proportion Calc'!$A$5:$P$316,13,FALSE)</f>
        <v>7370</v>
      </c>
      <c r="G83" s="90">
        <f>VLOOKUP(A83,'Change in Proportion Calc'!$A$5:$P$316,16,FALSE)</f>
        <v>7223</v>
      </c>
      <c r="H83" s="255"/>
      <c r="I83" s="280">
        <v>-1803</v>
      </c>
      <c r="J83" s="280">
        <v>-1803</v>
      </c>
      <c r="K83" s="280">
        <v>-1803</v>
      </c>
      <c r="L83" s="280">
        <v>-1803</v>
      </c>
      <c r="M83" s="281">
        <v>-1768</v>
      </c>
      <c r="N83" s="65"/>
      <c r="O83" s="154">
        <v>2328</v>
      </c>
      <c r="P83" s="154">
        <v>2328</v>
      </c>
      <c r="Q83" s="154">
        <v>2328</v>
      </c>
      <c r="R83" s="155">
        <v>1492</v>
      </c>
      <c r="T83" s="197">
        <v>-3696</v>
      </c>
      <c r="U83" s="197">
        <v>-3696</v>
      </c>
      <c r="V83" s="197">
        <v>-2660</v>
      </c>
      <c r="X83" s="281">
        <f>VLOOKUP(A83,'Change in Proportion Calc'!$A$5:$H$316,8,FALSE)+I83+O83+T83</f>
        <v>4199</v>
      </c>
      <c r="Z83" s="280">
        <f t="shared" si="3"/>
        <v>42851</v>
      </c>
      <c r="AA83" s="280">
        <f t="shared" si="4"/>
        <v>13533</v>
      </c>
      <c r="AC83" s="280">
        <f>VLOOKUP(A83,'OPEB Amounts_Report'!$A$10:$F$321,6,FALSE)</f>
        <v>42851</v>
      </c>
      <c r="AD83" s="281">
        <f t="shared" si="5"/>
        <v>0</v>
      </c>
    </row>
    <row r="84" spans="1:30">
      <c r="A84" s="64">
        <v>2364</v>
      </c>
      <c r="B84" s="65" t="s">
        <v>76</v>
      </c>
      <c r="C84" s="90">
        <f>VLOOKUP(A84,'Change in Proportion Calc'!$A$5:$P$316,12,FALSE)</f>
        <v>64710</v>
      </c>
      <c r="D84" s="90">
        <f>VLOOKUP(A84,'Change in Proportion Calc'!$A$5:$P$316,13,FALSE)</f>
        <v>64710</v>
      </c>
      <c r="E84" s="90">
        <f>VLOOKUP(A84,'Change in Proportion Calc'!$A$5:$P$316,13,FALSE)</f>
        <v>64710</v>
      </c>
      <c r="F84" s="90">
        <f>VLOOKUP(A84,'Change in Proportion Calc'!$A$5:$P$316,13,FALSE)</f>
        <v>64710</v>
      </c>
      <c r="G84" s="90">
        <f>VLOOKUP(A84,'Change in Proportion Calc'!$A$5:$P$316,16,FALSE)</f>
        <v>63418</v>
      </c>
      <c r="H84" s="255"/>
      <c r="I84" s="280">
        <v>12451</v>
      </c>
      <c r="J84" s="280">
        <v>12451</v>
      </c>
      <c r="K84" s="280">
        <v>12451</v>
      </c>
      <c r="L84" s="280">
        <v>12451</v>
      </c>
      <c r="M84" s="281">
        <v>12202</v>
      </c>
      <c r="N84" s="65"/>
      <c r="O84" s="154">
        <v>-16008</v>
      </c>
      <c r="P84" s="154">
        <v>-16008</v>
      </c>
      <c r="Q84" s="154">
        <v>-16008</v>
      </c>
      <c r="R84" s="155">
        <v>-10246</v>
      </c>
      <c r="T84" s="197">
        <v>-16728</v>
      </c>
      <c r="U84" s="197">
        <v>-16728</v>
      </c>
      <c r="V84" s="197">
        <v>-12045</v>
      </c>
      <c r="X84" s="281">
        <f>VLOOKUP(A84,'Change in Proportion Calc'!$A$5:$H$316,8,FALSE)+I84+O84+T84</f>
        <v>44426</v>
      </c>
      <c r="Z84" s="280">
        <f t="shared" si="3"/>
        <v>371813</v>
      </c>
      <c r="AA84" s="280">
        <f t="shared" si="4"/>
        <v>71035</v>
      </c>
      <c r="AC84" s="280">
        <f>VLOOKUP(A84,'OPEB Amounts_Report'!$A$10:$F$321,6,FALSE)</f>
        <v>371813</v>
      </c>
      <c r="AD84" s="281">
        <f t="shared" si="5"/>
        <v>0</v>
      </c>
    </row>
    <row r="85" spans="1:30">
      <c r="A85" s="62">
        <v>25319</v>
      </c>
      <c r="B85" s="66" t="s">
        <v>77</v>
      </c>
      <c r="C85" s="90">
        <f>VLOOKUP(A85,'Change in Proportion Calc'!$A$5:$P$316,12,FALSE)</f>
        <v>18304</v>
      </c>
      <c r="D85" s="90">
        <f>VLOOKUP(A85,'Change in Proportion Calc'!$A$5:$P$316,13,FALSE)</f>
        <v>18304</v>
      </c>
      <c r="E85" s="90">
        <f>VLOOKUP(A85,'Change in Proportion Calc'!$A$5:$P$316,13,FALSE)</f>
        <v>18304</v>
      </c>
      <c r="F85" s="90">
        <f>VLOOKUP(A85,'Change in Proportion Calc'!$A$5:$P$316,13,FALSE)</f>
        <v>18304</v>
      </c>
      <c r="G85" s="90">
        <f>VLOOKUP(A85,'Change in Proportion Calc'!$A$5:$P$316,16,FALSE)</f>
        <v>17936</v>
      </c>
      <c r="H85" s="255"/>
      <c r="I85" s="280">
        <v>5324</v>
      </c>
      <c r="J85" s="280">
        <v>5324</v>
      </c>
      <c r="K85" s="280">
        <v>5324</v>
      </c>
      <c r="L85" s="280">
        <v>5324</v>
      </c>
      <c r="M85" s="281">
        <v>5217</v>
      </c>
      <c r="N85" s="65"/>
      <c r="O85" s="154">
        <v>2038</v>
      </c>
      <c r="P85" s="154">
        <v>2038</v>
      </c>
      <c r="Q85" s="154">
        <v>2038</v>
      </c>
      <c r="R85" s="155">
        <v>1302</v>
      </c>
      <c r="T85" s="197">
        <v>6614</v>
      </c>
      <c r="U85" s="197">
        <v>6614</v>
      </c>
      <c r="V85" s="197">
        <v>4760</v>
      </c>
      <c r="X85" s="281">
        <f>VLOOKUP(A85,'Change in Proportion Calc'!$A$5:$H$316,8,FALSE)+I85+O85+T85</f>
        <v>32280</v>
      </c>
      <c r="Z85" s="280">
        <f t="shared" si="3"/>
        <v>129093</v>
      </c>
      <c r="AA85" s="280">
        <f t="shared" si="4"/>
        <v>0</v>
      </c>
      <c r="AC85" s="280">
        <f>VLOOKUP(A85,'OPEB Amounts_Report'!$A$10:$F$321,6,FALSE)</f>
        <v>129093</v>
      </c>
      <c r="AD85" s="281">
        <f t="shared" si="5"/>
        <v>0</v>
      </c>
    </row>
    <row r="86" spans="1:30">
      <c r="A86" s="64">
        <v>29087</v>
      </c>
      <c r="B86" s="65" t="s">
        <v>78</v>
      </c>
      <c r="C86" s="90">
        <f>VLOOKUP(A86,'Change in Proportion Calc'!$A$5:$P$316,12,FALSE)</f>
        <v>-39928</v>
      </c>
      <c r="D86" s="90">
        <f>VLOOKUP(A86,'Change in Proportion Calc'!$A$5:$P$316,13,FALSE)</f>
        <v>-39928</v>
      </c>
      <c r="E86" s="90">
        <f>VLOOKUP(A86,'Change in Proportion Calc'!$A$5:$P$316,13,FALSE)</f>
        <v>-39928</v>
      </c>
      <c r="F86" s="90">
        <f>VLOOKUP(A86,'Change in Proportion Calc'!$A$5:$P$316,13,FALSE)</f>
        <v>-39928</v>
      </c>
      <c r="G86" s="90">
        <f>VLOOKUP(A86,'Change in Proportion Calc'!$A$5:$P$316,16,FALSE)</f>
        <v>-39128</v>
      </c>
      <c r="H86" s="255"/>
      <c r="I86" s="280">
        <v>191832</v>
      </c>
      <c r="J86" s="280">
        <v>191832</v>
      </c>
      <c r="K86" s="280">
        <v>191832</v>
      </c>
      <c r="L86" s="280">
        <v>191832</v>
      </c>
      <c r="M86" s="281">
        <v>187993</v>
      </c>
      <c r="N86" s="65"/>
      <c r="O86" s="154">
        <v>82078</v>
      </c>
      <c r="P86" s="154">
        <v>82078</v>
      </c>
      <c r="Q86" s="154">
        <v>82078</v>
      </c>
      <c r="R86" s="155">
        <v>52532</v>
      </c>
      <c r="T86" s="197">
        <v>-2918</v>
      </c>
      <c r="U86" s="197">
        <v>-2918</v>
      </c>
      <c r="V86" s="197">
        <v>-2099</v>
      </c>
      <c r="X86" s="281">
        <f>VLOOKUP(A86,'Change in Proportion Calc'!$A$5:$H$316,8,FALSE)+I86+O86+T86</f>
        <v>231064</v>
      </c>
      <c r="Z86" s="280">
        <f t="shared" si="3"/>
        <v>980177</v>
      </c>
      <c r="AA86" s="280">
        <f t="shared" si="4"/>
        <v>203857</v>
      </c>
      <c r="AC86" s="280">
        <f>VLOOKUP(A86,'OPEB Amounts_Report'!$A$10:$F$321,6,FALSE)</f>
        <v>980177</v>
      </c>
      <c r="AD86" s="281">
        <f t="shared" si="5"/>
        <v>0</v>
      </c>
    </row>
    <row r="87" spans="1:30">
      <c r="A87" s="62">
        <v>3060</v>
      </c>
      <c r="B87" s="66" t="s">
        <v>79</v>
      </c>
      <c r="C87" s="90">
        <f>VLOOKUP(A87,'Change in Proportion Calc'!$A$5:$P$316,12,FALSE)</f>
        <v>-91599</v>
      </c>
      <c r="D87" s="90">
        <f>VLOOKUP(A87,'Change in Proportion Calc'!$A$5:$P$316,13,FALSE)</f>
        <v>-91599</v>
      </c>
      <c r="E87" s="90">
        <f>VLOOKUP(A87,'Change in Proportion Calc'!$A$5:$P$316,13,FALSE)</f>
        <v>-91599</v>
      </c>
      <c r="F87" s="90">
        <f>VLOOKUP(A87,'Change in Proportion Calc'!$A$5:$P$316,13,FALSE)</f>
        <v>-91599</v>
      </c>
      <c r="G87" s="90">
        <f>VLOOKUP(A87,'Change in Proportion Calc'!$A$5:$P$316,16,FALSE)</f>
        <v>-89767</v>
      </c>
      <c r="H87" s="255"/>
      <c r="I87" s="280">
        <v>7470</v>
      </c>
      <c r="J87" s="280">
        <v>7470</v>
      </c>
      <c r="K87" s="280">
        <v>7470</v>
      </c>
      <c r="L87" s="280">
        <v>7470</v>
      </c>
      <c r="M87" s="281">
        <v>7323</v>
      </c>
      <c r="N87" s="65"/>
      <c r="O87" s="154">
        <v>-99639</v>
      </c>
      <c r="P87" s="154">
        <v>-99639</v>
      </c>
      <c r="Q87" s="154">
        <v>-99639</v>
      </c>
      <c r="R87" s="155">
        <v>-63768</v>
      </c>
      <c r="T87" s="197">
        <v>36374</v>
      </c>
      <c r="U87" s="197">
        <v>36374</v>
      </c>
      <c r="V87" s="197">
        <v>26189</v>
      </c>
      <c r="X87" s="281">
        <f>VLOOKUP(A87,'Change in Proportion Calc'!$A$5:$H$316,8,FALSE)+I87+O87+T87</f>
        <v>-147394</v>
      </c>
      <c r="Z87" s="280">
        <f t="shared" si="3"/>
        <v>92296</v>
      </c>
      <c r="AA87" s="280">
        <f t="shared" si="4"/>
        <v>719209</v>
      </c>
      <c r="AC87" s="280">
        <f>VLOOKUP(A87,'OPEB Amounts_Report'!$A$10:$F$321,6,FALSE)</f>
        <v>92296</v>
      </c>
      <c r="AD87" s="281">
        <f t="shared" si="5"/>
        <v>0</v>
      </c>
    </row>
    <row r="88" spans="1:30">
      <c r="A88" s="64">
        <v>19301</v>
      </c>
      <c r="B88" s="65" t="s">
        <v>80</v>
      </c>
      <c r="C88" s="90">
        <f>VLOOKUP(A88,'Change in Proportion Calc'!$A$5:$P$316,12,FALSE)</f>
        <v>243</v>
      </c>
      <c r="D88" s="90">
        <f>VLOOKUP(A88,'Change in Proportion Calc'!$A$5:$P$316,13,FALSE)</f>
        <v>243</v>
      </c>
      <c r="E88" s="90">
        <f>VLOOKUP(A88,'Change in Proportion Calc'!$A$5:$P$316,13,FALSE)</f>
        <v>243</v>
      </c>
      <c r="F88" s="90">
        <f>VLOOKUP(A88,'Change in Proportion Calc'!$A$5:$P$316,13,FALSE)</f>
        <v>243</v>
      </c>
      <c r="G88" s="90">
        <f>VLOOKUP(A88,'Change in Proportion Calc'!$A$5:$P$316,16,FALSE)</f>
        <v>238</v>
      </c>
      <c r="H88" s="255"/>
      <c r="I88" s="280">
        <v>-29968</v>
      </c>
      <c r="J88" s="280">
        <v>-29968</v>
      </c>
      <c r="K88" s="280">
        <v>-29968</v>
      </c>
      <c r="L88" s="280">
        <v>-29968</v>
      </c>
      <c r="M88" s="281">
        <v>-29370</v>
      </c>
      <c r="N88" s="65"/>
      <c r="O88" s="154">
        <v>-3881</v>
      </c>
      <c r="P88" s="154">
        <v>-3881</v>
      </c>
      <c r="Q88" s="154">
        <v>-3881</v>
      </c>
      <c r="R88" s="155">
        <v>-2483</v>
      </c>
      <c r="T88" s="197">
        <v>-11865</v>
      </c>
      <c r="U88" s="197">
        <v>-11865</v>
      </c>
      <c r="V88" s="197">
        <v>-8544</v>
      </c>
      <c r="X88" s="281">
        <f>VLOOKUP(A88,'Change in Proportion Calc'!$A$5:$H$316,8,FALSE)+I88+O88+T88</f>
        <v>-45471</v>
      </c>
      <c r="Z88" s="280">
        <f t="shared" si="3"/>
        <v>1210</v>
      </c>
      <c r="AA88" s="280">
        <f t="shared" si="4"/>
        <v>149928</v>
      </c>
      <c r="AC88" s="280">
        <f>VLOOKUP(A88,'OPEB Amounts_Report'!$A$10:$F$321,6,FALSE)</f>
        <v>1210</v>
      </c>
      <c r="AD88" s="281">
        <f t="shared" si="5"/>
        <v>0</v>
      </c>
    </row>
    <row r="89" spans="1:30">
      <c r="A89" s="62">
        <v>19059</v>
      </c>
      <c r="B89" s="66" t="s">
        <v>81</v>
      </c>
      <c r="C89" s="90">
        <f>VLOOKUP(A89,'Change in Proportion Calc'!$A$5:$P$316,12,FALSE)</f>
        <v>-73943</v>
      </c>
      <c r="D89" s="90">
        <f>VLOOKUP(A89,'Change in Proportion Calc'!$A$5:$P$316,13,FALSE)</f>
        <v>-73943</v>
      </c>
      <c r="E89" s="90">
        <f>VLOOKUP(A89,'Change in Proportion Calc'!$A$5:$P$316,13,FALSE)</f>
        <v>-73943</v>
      </c>
      <c r="F89" s="90">
        <f>VLOOKUP(A89,'Change in Proportion Calc'!$A$5:$P$316,13,FALSE)</f>
        <v>-73943</v>
      </c>
      <c r="G89" s="90">
        <f>VLOOKUP(A89,'Change in Proportion Calc'!$A$5:$P$316,16,FALSE)</f>
        <v>-72466</v>
      </c>
      <c r="H89" s="255"/>
      <c r="I89" s="280">
        <v>369495</v>
      </c>
      <c r="J89" s="280">
        <v>369495</v>
      </c>
      <c r="K89" s="280">
        <v>369495</v>
      </c>
      <c r="L89" s="280">
        <v>369495</v>
      </c>
      <c r="M89" s="281">
        <v>362103</v>
      </c>
      <c r="N89" s="65"/>
      <c r="O89" s="154">
        <v>230906</v>
      </c>
      <c r="P89" s="154">
        <v>230906</v>
      </c>
      <c r="Q89" s="154">
        <v>230906</v>
      </c>
      <c r="R89" s="155">
        <v>147780</v>
      </c>
      <c r="T89" s="197">
        <v>-205989</v>
      </c>
      <c r="U89" s="197">
        <v>-205989</v>
      </c>
      <c r="V89" s="197">
        <v>-148313</v>
      </c>
      <c r="X89" s="281">
        <f>VLOOKUP(A89,'Change in Proportion Calc'!$A$5:$H$316,8,FALSE)+I89+O89+T89</f>
        <v>320469</v>
      </c>
      <c r="Z89" s="280">
        <f t="shared" si="3"/>
        <v>2080180</v>
      </c>
      <c r="AA89" s="280">
        <f t="shared" si="4"/>
        <v>722540</v>
      </c>
      <c r="AC89" s="280">
        <f>VLOOKUP(A89,'OPEB Amounts_Report'!$A$10:$F$321,6,FALSE)</f>
        <v>2080180</v>
      </c>
      <c r="AD89" s="281">
        <f t="shared" si="5"/>
        <v>0</v>
      </c>
    </row>
    <row r="90" spans="1:30">
      <c r="A90" s="64">
        <v>18057</v>
      </c>
      <c r="B90" s="65" t="s">
        <v>82</v>
      </c>
      <c r="C90" s="90">
        <f>VLOOKUP(A90,'Change in Proportion Calc'!$A$5:$P$316,12,FALSE)</f>
        <v>2754</v>
      </c>
      <c r="D90" s="90">
        <f>VLOOKUP(A90,'Change in Proportion Calc'!$A$5:$P$316,13,FALSE)</f>
        <v>2754</v>
      </c>
      <c r="E90" s="90">
        <f>VLOOKUP(A90,'Change in Proportion Calc'!$A$5:$P$316,13,FALSE)</f>
        <v>2754</v>
      </c>
      <c r="F90" s="90">
        <f>VLOOKUP(A90,'Change in Proportion Calc'!$A$5:$P$316,13,FALSE)</f>
        <v>2754</v>
      </c>
      <c r="G90" s="90">
        <f>VLOOKUP(A90,'Change in Proportion Calc'!$A$5:$P$316,16,FALSE)</f>
        <v>2697</v>
      </c>
      <c r="H90" s="255"/>
      <c r="I90" s="280">
        <v>-6869</v>
      </c>
      <c r="J90" s="280">
        <v>-6869</v>
      </c>
      <c r="K90" s="280">
        <v>-6869</v>
      </c>
      <c r="L90" s="280">
        <v>-6869</v>
      </c>
      <c r="M90" s="281">
        <v>-6734</v>
      </c>
      <c r="N90" s="65"/>
      <c r="O90" s="154">
        <v>-3881</v>
      </c>
      <c r="P90" s="154">
        <v>-3881</v>
      </c>
      <c r="Q90" s="154">
        <v>-3881</v>
      </c>
      <c r="R90" s="155">
        <v>-2483</v>
      </c>
      <c r="T90" s="197">
        <v>10796</v>
      </c>
      <c r="U90" s="197">
        <v>10796</v>
      </c>
      <c r="V90" s="197">
        <v>7771</v>
      </c>
      <c r="X90" s="281">
        <f>VLOOKUP(A90,'Change in Proportion Calc'!$A$5:$H$316,8,FALSE)+I90+O90+T90</f>
        <v>2800</v>
      </c>
      <c r="Z90" s="280">
        <f t="shared" si="3"/>
        <v>32280</v>
      </c>
      <c r="AA90" s="280">
        <f t="shared" si="4"/>
        <v>37586</v>
      </c>
      <c r="AC90" s="280">
        <f>VLOOKUP(A90,'OPEB Amounts_Report'!$A$10:$F$321,6,FALSE)</f>
        <v>32280</v>
      </c>
      <c r="AD90" s="281">
        <f t="shared" si="5"/>
        <v>0</v>
      </c>
    </row>
    <row r="91" spans="1:30">
      <c r="A91" s="62">
        <v>4008</v>
      </c>
      <c r="B91" s="66" t="s">
        <v>83</v>
      </c>
      <c r="C91" s="90">
        <f>VLOOKUP(A91,'Change in Proportion Calc'!$A$5:$P$316,12,FALSE)</f>
        <v>26564</v>
      </c>
      <c r="D91" s="90">
        <f>VLOOKUP(A91,'Change in Proportion Calc'!$A$5:$P$316,13,FALSE)</f>
        <v>26564</v>
      </c>
      <c r="E91" s="90">
        <f>VLOOKUP(A91,'Change in Proportion Calc'!$A$5:$P$316,13,FALSE)</f>
        <v>26564</v>
      </c>
      <c r="F91" s="90">
        <f>VLOOKUP(A91,'Change in Proportion Calc'!$A$5:$P$316,13,FALSE)</f>
        <v>26564</v>
      </c>
      <c r="G91" s="90">
        <f>VLOOKUP(A91,'Change in Proportion Calc'!$A$5:$P$316,16,FALSE)</f>
        <v>26035</v>
      </c>
      <c r="H91" s="255"/>
      <c r="I91" s="280">
        <v>-33403</v>
      </c>
      <c r="J91" s="280">
        <v>-33403</v>
      </c>
      <c r="K91" s="280">
        <v>-33403</v>
      </c>
      <c r="L91" s="280">
        <v>-33403</v>
      </c>
      <c r="M91" s="281">
        <v>-32735</v>
      </c>
      <c r="N91" s="65"/>
      <c r="O91" s="154">
        <v>-72085</v>
      </c>
      <c r="P91" s="154">
        <v>-72085</v>
      </c>
      <c r="Q91" s="154">
        <v>-72085</v>
      </c>
      <c r="R91" s="155">
        <v>-46136</v>
      </c>
      <c r="T91" s="197">
        <v>-107760</v>
      </c>
      <c r="U91" s="197">
        <v>-107760</v>
      </c>
      <c r="V91" s="197">
        <v>-77588</v>
      </c>
      <c r="X91" s="281">
        <f>VLOOKUP(A91,'Change in Proportion Calc'!$A$5:$H$316,8,FALSE)+I91+O91+T91</f>
        <v>-186683</v>
      </c>
      <c r="Z91" s="280">
        <f t="shared" si="3"/>
        <v>132291</v>
      </c>
      <c r="AA91" s="280">
        <f t="shared" si="4"/>
        <v>508598</v>
      </c>
      <c r="AC91" s="280">
        <f>VLOOKUP(A91,'OPEB Amounts_Report'!$A$10:$F$321,6,FALSE)</f>
        <v>132291</v>
      </c>
      <c r="AD91" s="281">
        <f t="shared" si="5"/>
        <v>0</v>
      </c>
    </row>
    <row r="92" spans="1:30">
      <c r="A92" s="127">
        <v>2350</v>
      </c>
      <c r="B92" s="128" t="s">
        <v>84</v>
      </c>
      <c r="C92" s="90">
        <f>VLOOKUP(A92,'Change in Proportion Calc'!$A$5:$P$316,12,FALSE)</f>
        <v>27294</v>
      </c>
      <c r="D92" s="90">
        <f>VLOOKUP(A92,'Change in Proportion Calc'!$A$5:$P$316,13,FALSE)</f>
        <v>27294</v>
      </c>
      <c r="E92" s="90">
        <f>VLOOKUP(A92,'Change in Proportion Calc'!$A$5:$P$316,13,FALSE)</f>
        <v>27294</v>
      </c>
      <c r="F92" s="90">
        <f>VLOOKUP(A92,'Change in Proportion Calc'!$A$5:$P$316,13,FALSE)</f>
        <v>27294</v>
      </c>
      <c r="G92" s="90">
        <f>VLOOKUP(A92,'Change in Proportion Calc'!$A$5:$P$316,16,FALSE)</f>
        <v>26746</v>
      </c>
      <c r="H92" s="255"/>
      <c r="I92" s="280">
        <v>15456</v>
      </c>
      <c r="J92" s="280">
        <v>15456</v>
      </c>
      <c r="K92" s="280">
        <v>15456</v>
      </c>
      <c r="L92" s="280">
        <v>15456</v>
      </c>
      <c r="M92" s="281">
        <v>15149</v>
      </c>
      <c r="N92" s="65"/>
      <c r="O92" s="154">
        <v>2231</v>
      </c>
      <c r="P92" s="154">
        <v>2231</v>
      </c>
      <c r="Q92" s="154">
        <v>2231</v>
      </c>
      <c r="R92" s="155">
        <v>1430</v>
      </c>
      <c r="T92" s="197">
        <v>-47461</v>
      </c>
      <c r="U92" s="197">
        <v>-47461</v>
      </c>
      <c r="V92" s="197">
        <v>-34173</v>
      </c>
      <c r="X92" s="281">
        <f>VLOOKUP(A92,'Change in Proportion Calc'!$A$5:$H$316,8,FALSE)+I92+O92+T92</f>
        <v>-2481</v>
      </c>
      <c r="Z92" s="280">
        <f t="shared" si="3"/>
        <v>203331</v>
      </c>
      <c r="AA92" s="280">
        <f t="shared" si="4"/>
        <v>81634</v>
      </c>
      <c r="AC92" s="280">
        <f>VLOOKUP(A92,'OPEB Amounts_Report'!$A$10:$F$321,6,FALSE)</f>
        <v>203331</v>
      </c>
      <c r="AD92" s="281">
        <f t="shared" si="5"/>
        <v>0</v>
      </c>
    </row>
    <row r="93" spans="1:30">
      <c r="A93" s="62">
        <v>11117</v>
      </c>
      <c r="B93" s="66" t="s">
        <v>85</v>
      </c>
      <c r="C93" s="90">
        <f>VLOOKUP(A93,'Change in Proportion Calc'!$A$5:$P$316,12,FALSE)</f>
        <v>7451</v>
      </c>
      <c r="D93" s="90">
        <f>VLOOKUP(A93,'Change in Proportion Calc'!$A$5:$P$316,13,FALSE)</f>
        <v>7451</v>
      </c>
      <c r="E93" s="90">
        <f>VLOOKUP(A93,'Change in Proportion Calc'!$A$5:$P$316,13,FALSE)</f>
        <v>7451</v>
      </c>
      <c r="F93" s="90">
        <f>VLOOKUP(A93,'Change in Proportion Calc'!$A$5:$P$316,13,FALSE)</f>
        <v>7451</v>
      </c>
      <c r="G93" s="90">
        <f>VLOOKUP(A93,'Change in Proportion Calc'!$A$5:$P$316,16,FALSE)</f>
        <v>7302</v>
      </c>
      <c r="H93" s="255"/>
      <c r="I93" s="280">
        <v>2576</v>
      </c>
      <c r="J93" s="280">
        <v>2576</v>
      </c>
      <c r="K93" s="280">
        <v>2576</v>
      </c>
      <c r="L93" s="280">
        <v>2576</v>
      </c>
      <c r="M93" s="281">
        <v>2525</v>
      </c>
      <c r="N93" s="65"/>
      <c r="O93" s="154">
        <v>-6791</v>
      </c>
      <c r="P93" s="154">
        <v>-6791</v>
      </c>
      <c r="Q93" s="154">
        <v>-6791</v>
      </c>
      <c r="R93" s="155">
        <v>-4348</v>
      </c>
      <c r="T93" s="197">
        <v>-5446</v>
      </c>
      <c r="U93" s="197">
        <v>-5446</v>
      </c>
      <c r="V93" s="197">
        <v>-3923</v>
      </c>
      <c r="X93" s="281">
        <f>VLOOKUP(A93,'Change in Proportion Calc'!$A$5:$H$316,8,FALSE)+I93+O93+T93</f>
        <v>-2210</v>
      </c>
      <c r="Z93" s="280">
        <f t="shared" si="3"/>
        <v>47359</v>
      </c>
      <c r="AA93" s="280">
        <f t="shared" si="4"/>
        <v>27299</v>
      </c>
      <c r="AC93" s="280">
        <f>VLOOKUP(A93,'OPEB Amounts_Report'!$A$10:$F$321,6,FALSE)</f>
        <v>47359</v>
      </c>
      <c r="AD93" s="281">
        <f t="shared" si="5"/>
        <v>0</v>
      </c>
    </row>
    <row r="94" spans="1:30">
      <c r="A94" s="64">
        <v>16359</v>
      </c>
      <c r="B94" s="65" t="s">
        <v>86</v>
      </c>
      <c r="C94" s="90">
        <f>VLOOKUP(A94,'Change in Proportion Calc'!$A$5:$P$316,12,FALSE)</f>
        <v>9233</v>
      </c>
      <c r="D94" s="90">
        <f>VLOOKUP(A94,'Change in Proportion Calc'!$A$5:$P$316,13,FALSE)</f>
        <v>9233</v>
      </c>
      <c r="E94" s="90">
        <f>VLOOKUP(A94,'Change in Proportion Calc'!$A$5:$P$316,13,FALSE)</f>
        <v>9233</v>
      </c>
      <c r="F94" s="90">
        <f>VLOOKUP(A94,'Change in Proportion Calc'!$A$5:$P$316,13,FALSE)</f>
        <v>9233</v>
      </c>
      <c r="G94" s="90">
        <f>VLOOKUP(A94,'Change in Proportion Calc'!$A$5:$P$316,16,FALSE)</f>
        <v>9047</v>
      </c>
      <c r="H94" s="255"/>
      <c r="I94" s="280">
        <v>2490</v>
      </c>
      <c r="J94" s="280">
        <v>2490</v>
      </c>
      <c r="K94" s="280">
        <v>2490</v>
      </c>
      <c r="L94" s="280">
        <v>2490</v>
      </c>
      <c r="M94" s="281">
        <v>2441</v>
      </c>
      <c r="N94" s="65"/>
      <c r="O94" s="154">
        <v>-9508</v>
      </c>
      <c r="P94" s="154">
        <v>-9508</v>
      </c>
      <c r="Q94" s="154">
        <v>-9508</v>
      </c>
      <c r="R94" s="155">
        <v>-6085</v>
      </c>
      <c r="T94" s="197">
        <v>13324</v>
      </c>
      <c r="U94" s="197">
        <v>13324</v>
      </c>
      <c r="V94" s="197">
        <v>9594</v>
      </c>
      <c r="X94" s="281">
        <f>VLOOKUP(A94,'Change in Proportion Calc'!$A$5:$H$316,8,FALSE)+I94+O94+T94</f>
        <v>15539</v>
      </c>
      <c r="Z94" s="280">
        <f t="shared" si="3"/>
        <v>78808</v>
      </c>
      <c r="AA94" s="280">
        <f t="shared" si="4"/>
        <v>25101</v>
      </c>
      <c r="AC94" s="280">
        <f>VLOOKUP(A94,'OPEB Amounts_Report'!$A$10:$F$321,6,FALSE)</f>
        <v>78808</v>
      </c>
      <c r="AD94" s="281">
        <f t="shared" si="5"/>
        <v>0</v>
      </c>
    </row>
    <row r="95" spans="1:30">
      <c r="A95" s="62">
        <v>17115</v>
      </c>
      <c r="B95" s="66" t="s">
        <v>87</v>
      </c>
      <c r="C95" s="90">
        <f>VLOOKUP(A95,'Change in Proportion Calc'!$A$5:$P$316,12,FALSE)</f>
        <v>-99860</v>
      </c>
      <c r="D95" s="90">
        <f>VLOOKUP(A95,'Change in Proportion Calc'!$A$5:$P$316,13,FALSE)</f>
        <v>-99860</v>
      </c>
      <c r="E95" s="90">
        <f>VLOOKUP(A95,'Change in Proportion Calc'!$A$5:$P$316,13,FALSE)</f>
        <v>-99860</v>
      </c>
      <c r="F95" s="90">
        <f>VLOOKUP(A95,'Change in Proportion Calc'!$A$5:$P$316,13,FALSE)</f>
        <v>-99860</v>
      </c>
      <c r="G95" s="90">
        <f>VLOOKUP(A95,'Change in Proportion Calc'!$A$5:$P$316,16,FALSE)</f>
        <v>-97863</v>
      </c>
      <c r="H95" s="255"/>
      <c r="I95" s="280">
        <v>10905</v>
      </c>
      <c r="J95" s="280">
        <v>10905</v>
      </c>
      <c r="K95" s="280">
        <v>10905</v>
      </c>
      <c r="L95" s="280">
        <v>10905</v>
      </c>
      <c r="M95" s="281">
        <v>10689</v>
      </c>
      <c r="N95" s="65"/>
      <c r="O95" s="154">
        <v>57144</v>
      </c>
      <c r="P95" s="154">
        <v>57144</v>
      </c>
      <c r="Q95" s="154">
        <v>57144</v>
      </c>
      <c r="R95" s="155">
        <v>36574</v>
      </c>
      <c r="T95" s="197">
        <v>39292</v>
      </c>
      <c r="U95" s="197">
        <v>39292</v>
      </c>
      <c r="V95" s="197">
        <v>28288</v>
      </c>
      <c r="X95" s="281">
        <f>VLOOKUP(A95,'Change in Proportion Calc'!$A$5:$H$316,8,FALSE)+I95+O95+T95</f>
        <v>7481</v>
      </c>
      <c r="Z95" s="280">
        <f t="shared" si="3"/>
        <v>261846</v>
      </c>
      <c r="AA95" s="280">
        <f t="shared" si="4"/>
        <v>497303</v>
      </c>
      <c r="AC95" s="280">
        <f>VLOOKUP(A95,'OPEB Amounts_Report'!$A$10:$F$321,6,FALSE)</f>
        <v>261846</v>
      </c>
      <c r="AD95" s="281">
        <f t="shared" si="5"/>
        <v>0</v>
      </c>
    </row>
    <row r="96" spans="1:30">
      <c r="A96" s="64">
        <v>32117</v>
      </c>
      <c r="B96" s="65" t="s">
        <v>88</v>
      </c>
      <c r="C96" s="90">
        <f>VLOOKUP(A96,'Change in Proportion Calc'!$A$5:$P$316,12,FALSE)</f>
        <v>4859</v>
      </c>
      <c r="D96" s="90">
        <f>VLOOKUP(A96,'Change in Proportion Calc'!$A$5:$P$316,13,FALSE)</f>
        <v>4859</v>
      </c>
      <c r="E96" s="90">
        <f>VLOOKUP(A96,'Change in Proportion Calc'!$A$5:$P$316,13,FALSE)</f>
        <v>4859</v>
      </c>
      <c r="F96" s="90">
        <f>VLOOKUP(A96,'Change in Proportion Calc'!$A$5:$P$316,13,FALSE)</f>
        <v>4859</v>
      </c>
      <c r="G96" s="90">
        <f>VLOOKUP(A96,'Change in Proportion Calc'!$A$5:$P$316,16,FALSE)</f>
        <v>4764</v>
      </c>
      <c r="H96" s="255"/>
      <c r="I96" s="280">
        <v>10991</v>
      </c>
      <c r="J96" s="280">
        <v>10991</v>
      </c>
      <c r="K96" s="280">
        <v>10991</v>
      </c>
      <c r="L96" s="280">
        <v>10991</v>
      </c>
      <c r="M96" s="281">
        <v>10773</v>
      </c>
      <c r="N96" s="65"/>
      <c r="O96" s="154">
        <v>-1261</v>
      </c>
      <c r="P96" s="154">
        <v>-1261</v>
      </c>
      <c r="Q96" s="154">
        <v>-1261</v>
      </c>
      <c r="R96" s="155">
        <v>-808</v>
      </c>
      <c r="T96" s="197">
        <v>18868</v>
      </c>
      <c r="U96" s="197">
        <v>18868</v>
      </c>
      <c r="V96" s="197">
        <v>13584</v>
      </c>
      <c r="X96" s="281">
        <f>VLOOKUP(A96,'Change in Proportion Calc'!$A$5:$H$316,8,FALSE)+I96+O96+T96</f>
        <v>33457</v>
      </c>
      <c r="Z96" s="280">
        <f t="shared" si="3"/>
        <v>100398</v>
      </c>
      <c r="AA96" s="280">
        <f t="shared" si="4"/>
        <v>3330</v>
      </c>
      <c r="AC96" s="280">
        <f>VLOOKUP(A96,'OPEB Amounts_Report'!$A$10:$F$321,6,FALSE)</f>
        <v>100398</v>
      </c>
      <c r="AD96" s="281">
        <f t="shared" si="5"/>
        <v>0</v>
      </c>
    </row>
    <row r="97" spans="1:30">
      <c r="A97" s="62">
        <v>2304</v>
      </c>
      <c r="B97" s="66" t="s">
        <v>89</v>
      </c>
      <c r="C97" s="90">
        <f>VLOOKUP(A97,'Change in Proportion Calc'!$A$5:$P$316,12,FALSE)</f>
        <v>11987</v>
      </c>
      <c r="D97" s="90">
        <f>VLOOKUP(A97,'Change in Proportion Calc'!$A$5:$P$316,13,FALSE)</f>
        <v>11987</v>
      </c>
      <c r="E97" s="90">
        <f>VLOOKUP(A97,'Change in Proportion Calc'!$A$5:$P$316,13,FALSE)</f>
        <v>11987</v>
      </c>
      <c r="F97" s="90">
        <f>VLOOKUP(A97,'Change in Proportion Calc'!$A$5:$P$316,13,FALSE)</f>
        <v>11987</v>
      </c>
      <c r="G97" s="90">
        <f>VLOOKUP(A97,'Change in Proportion Calc'!$A$5:$P$316,16,FALSE)</f>
        <v>11745</v>
      </c>
      <c r="H97" s="255"/>
      <c r="I97" s="280">
        <v>3778</v>
      </c>
      <c r="J97" s="280">
        <v>3778</v>
      </c>
      <c r="K97" s="280">
        <v>3778</v>
      </c>
      <c r="L97" s="280">
        <v>3778</v>
      </c>
      <c r="M97" s="281">
        <v>3704</v>
      </c>
      <c r="N97" s="65"/>
      <c r="O97" s="154">
        <v>4948</v>
      </c>
      <c r="P97" s="154">
        <v>4948</v>
      </c>
      <c r="Q97" s="154">
        <v>4948</v>
      </c>
      <c r="R97" s="155">
        <v>3167</v>
      </c>
      <c r="T97" s="197">
        <v>-2140</v>
      </c>
      <c r="U97" s="197">
        <v>-2140</v>
      </c>
      <c r="V97" s="197">
        <v>-1539</v>
      </c>
      <c r="X97" s="281">
        <f>VLOOKUP(A97,'Change in Proportion Calc'!$A$5:$H$316,8,FALSE)+I97+O97+T97</f>
        <v>18572</v>
      </c>
      <c r="Z97" s="280">
        <f t="shared" si="3"/>
        <v>87794</v>
      </c>
      <c r="AA97" s="280">
        <f t="shared" si="4"/>
        <v>3679</v>
      </c>
      <c r="AC97" s="280">
        <f>VLOOKUP(A97,'OPEB Amounts_Report'!$A$10:$F$321,6,FALSE)</f>
        <v>87794</v>
      </c>
      <c r="AD97" s="281">
        <f t="shared" si="5"/>
        <v>0</v>
      </c>
    </row>
    <row r="98" spans="1:30">
      <c r="A98" s="64">
        <v>11101</v>
      </c>
      <c r="B98" s="65" t="s">
        <v>91</v>
      </c>
      <c r="C98" s="90">
        <f>VLOOKUP(A98,'Change in Proportion Calc'!$A$5:$P$316,12,FALSE)</f>
        <v>-150883</v>
      </c>
      <c r="D98" s="90">
        <f>VLOOKUP(A98,'Change in Proportion Calc'!$A$5:$P$316,13,FALSE)</f>
        <v>-150883</v>
      </c>
      <c r="E98" s="90">
        <f>VLOOKUP(A98,'Change in Proportion Calc'!$A$5:$P$316,13,FALSE)</f>
        <v>-150883</v>
      </c>
      <c r="F98" s="90">
        <f>VLOOKUP(A98,'Change in Proportion Calc'!$A$5:$P$316,13,FALSE)</f>
        <v>-150883</v>
      </c>
      <c r="G98" s="90">
        <f>VLOOKUP(A98,'Change in Proportion Calc'!$A$5:$P$316,16,FALSE)</f>
        <v>-147867</v>
      </c>
      <c r="H98" s="255"/>
      <c r="I98" s="280">
        <v>183932</v>
      </c>
      <c r="J98" s="280">
        <v>183932</v>
      </c>
      <c r="K98" s="280">
        <v>183932</v>
      </c>
      <c r="L98" s="280">
        <v>183932</v>
      </c>
      <c r="M98" s="281">
        <v>180251</v>
      </c>
      <c r="N98" s="65"/>
      <c r="O98" s="154">
        <v>-1011620</v>
      </c>
      <c r="P98" s="154">
        <v>-1011620</v>
      </c>
      <c r="Q98" s="154">
        <v>-1011620</v>
      </c>
      <c r="R98" s="155">
        <v>-647439</v>
      </c>
      <c r="T98" s="197">
        <v>170880</v>
      </c>
      <c r="U98" s="197">
        <v>170880</v>
      </c>
      <c r="V98" s="197">
        <v>123032</v>
      </c>
      <c r="X98" s="281">
        <f>VLOOKUP(A98,'Change in Proportion Calc'!$A$5:$H$316,8,FALSE)+I98+O98+T98</f>
        <v>-807691</v>
      </c>
      <c r="Z98" s="280">
        <f t="shared" si="3"/>
        <v>1025959</v>
      </c>
      <c r="AA98" s="280">
        <f t="shared" si="4"/>
        <v>3422078</v>
      </c>
      <c r="AC98" s="280">
        <f>VLOOKUP(A98,'OPEB Amounts_Report'!$A$10:$F$321,6,FALSE)</f>
        <v>1025959</v>
      </c>
      <c r="AD98" s="281">
        <f t="shared" si="5"/>
        <v>0</v>
      </c>
    </row>
    <row r="99" spans="1:30">
      <c r="A99" s="62">
        <v>11102</v>
      </c>
      <c r="B99" s="66" t="s">
        <v>90</v>
      </c>
      <c r="C99" s="90">
        <f>VLOOKUP(A99,'Change in Proportion Calc'!$A$5:$P$316,12,FALSE)</f>
        <v>-82366</v>
      </c>
      <c r="D99" s="90">
        <f>VLOOKUP(A99,'Change in Proportion Calc'!$A$5:$P$316,13,FALSE)</f>
        <v>-82366</v>
      </c>
      <c r="E99" s="90">
        <f>VLOOKUP(A99,'Change in Proportion Calc'!$A$5:$P$316,13,FALSE)</f>
        <v>-82366</v>
      </c>
      <c r="F99" s="90">
        <f>VLOOKUP(A99,'Change in Proportion Calc'!$A$5:$P$316,13,FALSE)</f>
        <v>-82366</v>
      </c>
      <c r="G99" s="90">
        <f>VLOOKUP(A99,'Change in Proportion Calc'!$A$5:$P$316,16,FALSE)</f>
        <v>-80720</v>
      </c>
      <c r="H99" s="255"/>
      <c r="I99" s="280">
        <v>-192862</v>
      </c>
      <c r="J99" s="280">
        <v>-192862</v>
      </c>
      <c r="K99" s="280">
        <v>-192862</v>
      </c>
      <c r="L99" s="280">
        <v>-192862</v>
      </c>
      <c r="M99" s="281">
        <v>-189004</v>
      </c>
      <c r="N99" s="65"/>
      <c r="O99" s="154">
        <v>-62869</v>
      </c>
      <c r="P99" s="154">
        <v>-62869</v>
      </c>
      <c r="Q99" s="154">
        <v>-62869</v>
      </c>
      <c r="R99" s="155">
        <v>-40234</v>
      </c>
      <c r="T99" s="197">
        <v>2626</v>
      </c>
      <c r="U99" s="197">
        <v>2626</v>
      </c>
      <c r="V99" s="197">
        <v>1890</v>
      </c>
      <c r="X99" s="281">
        <f>VLOOKUP(A99,'Change in Proportion Calc'!$A$5:$H$316,8,FALSE)+I99+O99+T99</f>
        <v>-335471</v>
      </c>
      <c r="Z99" s="280">
        <f t="shared" si="3"/>
        <v>4516</v>
      </c>
      <c r="AA99" s="280">
        <f t="shared" si="4"/>
        <v>1343746</v>
      </c>
      <c r="AC99" s="280">
        <f>VLOOKUP(A99,'OPEB Amounts_Report'!$A$10:$F$321,6,FALSE)</f>
        <v>4516</v>
      </c>
      <c r="AD99" s="281">
        <f t="shared" si="5"/>
        <v>0</v>
      </c>
    </row>
    <row r="100" spans="1:30">
      <c r="A100" s="64">
        <v>3100</v>
      </c>
      <c r="B100" s="65" t="s">
        <v>92</v>
      </c>
      <c r="C100" s="90">
        <f>VLOOKUP(A100,'Change in Proportion Calc'!$A$5:$P$316,12,FALSE)</f>
        <v>299985</v>
      </c>
      <c r="D100" s="90">
        <f>VLOOKUP(A100,'Change in Proportion Calc'!$A$5:$P$316,13,FALSE)</f>
        <v>299985</v>
      </c>
      <c r="E100" s="90">
        <f>VLOOKUP(A100,'Change in Proportion Calc'!$A$5:$P$316,13,FALSE)</f>
        <v>299985</v>
      </c>
      <c r="F100" s="90">
        <f>VLOOKUP(A100,'Change in Proportion Calc'!$A$5:$P$316,13,FALSE)</f>
        <v>299985</v>
      </c>
      <c r="G100" s="90">
        <f>VLOOKUP(A100,'Change in Proportion Calc'!$A$5:$P$316,16,FALSE)</f>
        <v>293985</v>
      </c>
      <c r="H100" s="255"/>
      <c r="I100" s="280">
        <v>-114635</v>
      </c>
      <c r="J100" s="280">
        <v>-114635</v>
      </c>
      <c r="K100" s="280">
        <v>-114635</v>
      </c>
      <c r="L100" s="280">
        <v>-114635</v>
      </c>
      <c r="M100" s="281">
        <v>-112344</v>
      </c>
      <c r="N100" s="65"/>
      <c r="O100" s="154">
        <v>139029</v>
      </c>
      <c r="P100" s="154">
        <v>139029</v>
      </c>
      <c r="Q100" s="154">
        <v>139029</v>
      </c>
      <c r="R100" s="155">
        <v>88977</v>
      </c>
      <c r="T100" s="197">
        <v>66426</v>
      </c>
      <c r="U100" s="197">
        <v>66426</v>
      </c>
      <c r="V100" s="197">
        <v>47828</v>
      </c>
      <c r="X100" s="281">
        <f>VLOOKUP(A100,'Change in Proportion Calc'!$A$5:$H$316,8,FALSE)+I100+O100+T100</f>
        <v>390805</v>
      </c>
      <c r="Z100" s="280">
        <f t="shared" si="3"/>
        <v>1975214</v>
      </c>
      <c r="AA100" s="280">
        <f t="shared" si="4"/>
        <v>456249</v>
      </c>
      <c r="AC100" s="280">
        <f>VLOOKUP(A100,'OPEB Amounts_Report'!$A$10:$F$321,6,FALSE)</f>
        <v>1975214</v>
      </c>
      <c r="AD100" s="281">
        <f t="shared" si="5"/>
        <v>0</v>
      </c>
    </row>
    <row r="101" spans="1:30">
      <c r="A101" s="62">
        <v>2323</v>
      </c>
      <c r="B101" s="66" t="s">
        <v>93</v>
      </c>
      <c r="C101" s="90">
        <f>VLOOKUP(A101,'Change in Proportion Calc'!$A$5:$P$316,12,FALSE)</f>
        <v>324</v>
      </c>
      <c r="D101" s="90">
        <f>VLOOKUP(A101,'Change in Proportion Calc'!$A$5:$P$316,13,FALSE)</f>
        <v>324</v>
      </c>
      <c r="E101" s="90">
        <f>VLOOKUP(A101,'Change in Proportion Calc'!$A$5:$P$316,13,FALSE)</f>
        <v>324</v>
      </c>
      <c r="F101" s="90">
        <f>VLOOKUP(A101,'Change in Proportion Calc'!$A$5:$P$316,13,FALSE)</f>
        <v>324</v>
      </c>
      <c r="G101" s="90">
        <f>VLOOKUP(A101,'Change in Proportion Calc'!$A$5:$P$316,16,FALSE)</f>
        <v>317</v>
      </c>
      <c r="H101" s="255"/>
      <c r="I101" s="280">
        <v>41818</v>
      </c>
      <c r="J101" s="280">
        <v>41818</v>
      </c>
      <c r="K101" s="280">
        <v>41818</v>
      </c>
      <c r="L101" s="280">
        <v>41818</v>
      </c>
      <c r="M101" s="281">
        <v>40983</v>
      </c>
      <c r="N101" s="65"/>
      <c r="O101" s="154">
        <v>-10381</v>
      </c>
      <c r="P101" s="154">
        <v>-10381</v>
      </c>
      <c r="Q101" s="154">
        <v>-10381</v>
      </c>
      <c r="R101" s="155">
        <v>-6644</v>
      </c>
      <c r="T101" s="197">
        <v>-9045</v>
      </c>
      <c r="U101" s="197">
        <v>-9045</v>
      </c>
      <c r="V101" s="197">
        <v>-6512</v>
      </c>
      <c r="X101" s="281">
        <f>VLOOKUP(A101,'Change in Proportion Calc'!$A$5:$H$316,8,FALSE)+I101+O101+T101</f>
        <v>22716</v>
      </c>
      <c r="Z101" s="280">
        <f t="shared" si="3"/>
        <v>168050</v>
      </c>
      <c r="AA101" s="280">
        <f t="shared" si="4"/>
        <v>42963</v>
      </c>
      <c r="AC101" s="280">
        <f>VLOOKUP(A101,'OPEB Amounts_Report'!$A$10:$F$321,6,FALSE)</f>
        <v>168050</v>
      </c>
      <c r="AD101" s="281">
        <f t="shared" si="5"/>
        <v>0</v>
      </c>
    </row>
    <row r="102" spans="1:30">
      <c r="A102" s="64">
        <v>11034</v>
      </c>
      <c r="B102" s="65" t="s">
        <v>94</v>
      </c>
      <c r="C102" s="90">
        <f>VLOOKUP(A102,'Change in Proportion Calc'!$A$5:$P$316,12,FALSE)</f>
        <v>-3078</v>
      </c>
      <c r="D102" s="90">
        <f>VLOOKUP(A102,'Change in Proportion Calc'!$A$5:$P$316,13,FALSE)</f>
        <v>-3078</v>
      </c>
      <c r="E102" s="90">
        <f>VLOOKUP(A102,'Change in Proportion Calc'!$A$5:$P$316,13,FALSE)</f>
        <v>-3078</v>
      </c>
      <c r="F102" s="90">
        <f>VLOOKUP(A102,'Change in Proportion Calc'!$A$5:$P$316,13,FALSE)</f>
        <v>-3078</v>
      </c>
      <c r="G102" s="90">
        <f>VLOOKUP(A102,'Change in Proportion Calc'!$A$5:$P$316,16,FALSE)</f>
        <v>-3014</v>
      </c>
      <c r="H102" s="255"/>
      <c r="I102" s="280">
        <v>13310</v>
      </c>
      <c r="J102" s="280">
        <v>13310</v>
      </c>
      <c r="K102" s="280">
        <v>13310</v>
      </c>
      <c r="L102" s="280">
        <v>13310</v>
      </c>
      <c r="M102" s="281">
        <v>13042</v>
      </c>
      <c r="N102" s="65"/>
      <c r="O102" s="154">
        <v>65682</v>
      </c>
      <c r="P102" s="154">
        <v>65682</v>
      </c>
      <c r="Q102" s="154">
        <v>65682</v>
      </c>
      <c r="R102" s="155">
        <v>42037</v>
      </c>
      <c r="T102" s="197">
        <v>-24606</v>
      </c>
      <c r="U102" s="197">
        <v>-24606</v>
      </c>
      <c r="V102" s="197">
        <v>-17716</v>
      </c>
      <c r="X102" s="281">
        <f>VLOOKUP(A102,'Change in Proportion Calc'!$A$5:$H$316,8,FALSE)+I102+O102+T102</f>
        <v>51308</v>
      </c>
      <c r="Z102" s="280">
        <f t="shared" si="3"/>
        <v>226373</v>
      </c>
      <c r="AA102" s="280">
        <f t="shared" si="4"/>
        <v>57648</v>
      </c>
      <c r="AC102" s="280">
        <f>VLOOKUP(A102,'OPEB Amounts_Report'!$A$10:$F$321,6,FALSE)</f>
        <v>226373</v>
      </c>
      <c r="AD102" s="281">
        <f t="shared" si="5"/>
        <v>0</v>
      </c>
    </row>
    <row r="103" spans="1:30">
      <c r="A103" s="62">
        <v>17054</v>
      </c>
      <c r="B103" s="66" t="s">
        <v>95</v>
      </c>
      <c r="C103" s="90">
        <f>VLOOKUP(A103,'Change in Proportion Calc'!$A$5:$P$316,12,FALSE)</f>
        <v>15793</v>
      </c>
      <c r="D103" s="90">
        <f>VLOOKUP(A103,'Change in Proportion Calc'!$A$5:$P$316,13,FALSE)</f>
        <v>15793</v>
      </c>
      <c r="E103" s="90">
        <f>VLOOKUP(A103,'Change in Proportion Calc'!$A$5:$P$316,13,FALSE)</f>
        <v>15793</v>
      </c>
      <c r="F103" s="90">
        <f>VLOOKUP(A103,'Change in Proportion Calc'!$A$5:$P$316,13,FALSE)</f>
        <v>15793</v>
      </c>
      <c r="G103" s="90">
        <f>VLOOKUP(A103,'Change in Proportion Calc'!$A$5:$P$316,16,FALSE)</f>
        <v>15477</v>
      </c>
      <c r="H103" s="255"/>
      <c r="I103" s="280">
        <v>73761</v>
      </c>
      <c r="J103" s="280">
        <v>73761</v>
      </c>
      <c r="K103" s="280">
        <v>73761</v>
      </c>
      <c r="L103" s="280">
        <v>73761</v>
      </c>
      <c r="M103" s="281">
        <v>72288</v>
      </c>
      <c r="N103" s="65"/>
      <c r="O103" s="154">
        <v>-35121</v>
      </c>
      <c r="P103" s="154">
        <v>-35121</v>
      </c>
      <c r="Q103" s="154">
        <v>-35121</v>
      </c>
      <c r="R103" s="155">
        <v>-22477</v>
      </c>
      <c r="T103" s="197">
        <v>1130607</v>
      </c>
      <c r="U103" s="197">
        <v>1130607</v>
      </c>
      <c r="V103" s="197">
        <v>814035</v>
      </c>
      <c r="X103" s="281">
        <f>VLOOKUP(A103,'Change in Proportion Calc'!$A$5:$H$316,8,FALSE)+I103+O103+T103</f>
        <v>1185040</v>
      </c>
      <c r="Z103" s="280">
        <f t="shared" si="3"/>
        <v>2316862</v>
      </c>
      <c r="AA103" s="280">
        <f t="shared" si="4"/>
        <v>92719</v>
      </c>
      <c r="AC103" s="280">
        <f>VLOOKUP(A103,'OPEB Amounts_Report'!$A$10:$F$321,6,FALSE)</f>
        <v>2316862</v>
      </c>
      <c r="AD103" s="281">
        <f t="shared" si="5"/>
        <v>0</v>
      </c>
    </row>
    <row r="104" spans="1:30">
      <c r="A104" s="64">
        <v>22065</v>
      </c>
      <c r="B104" s="65" t="s">
        <v>96</v>
      </c>
      <c r="C104" s="90">
        <f>VLOOKUP(A104,'Change in Proportion Calc'!$A$5:$P$316,12,FALSE)</f>
        <v>-4454</v>
      </c>
      <c r="D104" s="90">
        <f>VLOOKUP(A104,'Change in Proportion Calc'!$A$5:$P$316,13,FALSE)</f>
        <v>-4454</v>
      </c>
      <c r="E104" s="90">
        <f>VLOOKUP(A104,'Change in Proportion Calc'!$A$5:$P$316,13,FALSE)</f>
        <v>-4454</v>
      </c>
      <c r="F104" s="90">
        <f>VLOOKUP(A104,'Change in Proportion Calc'!$A$5:$P$316,13,FALSE)</f>
        <v>-4454</v>
      </c>
      <c r="G104" s="90">
        <f>VLOOKUP(A104,'Change in Proportion Calc'!$A$5:$P$316,16,FALSE)</f>
        <v>-4367</v>
      </c>
      <c r="H104" s="255"/>
      <c r="I104" s="280">
        <v>46713</v>
      </c>
      <c r="J104" s="280">
        <v>46713</v>
      </c>
      <c r="K104" s="280">
        <v>46713</v>
      </c>
      <c r="L104" s="280">
        <v>46713</v>
      </c>
      <c r="M104" s="281">
        <v>45777</v>
      </c>
      <c r="N104" s="65"/>
      <c r="O104" s="154">
        <v>-7761</v>
      </c>
      <c r="P104" s="154">
        <v>-7761</v>
      </c>
      <c r="Q104" s="154">
        <v>-7761</v>
      </c>
      <c r="R104" s="155">
        <v>-4969</v>
      </c>
      <c r="T104" s="197">
        <v>-5154</v>
      </c>
      <c r="U104" s="197">
        <v>-5154</v>
      </c>
      <c r="V104" s="197">
        <v>-3713</v>
      </c>
      <c r="X104" s="281">
        <f>VLOOKUP(A104,'Change in Proportion Calc'!$A$5:$H$316,8,FALSE)+I104+O104+T104</f>
        <v>29344</v>
      </c>
      <c r="Z104" s="280">
        <f t="shared" si="3"/>
        <v>185916</v>
      </c>
      <c r="AA104" s="280">
        <f t="shared" si="4"/>
        <v>51541</v>
      </c>
      <c r="AC104" s="280">
        <f>VLOOKUP(A104,'OPEB Amounts_Report'!$A$10:$F$321,6,FALSE)</f>
        <v>185916</v>
      </c>
      <c r="AD104" s="281">
        <f t="shared" si="5"/>
        <v>0</v>
      </c>
    </row>
    <row r="105" spans="1:30">
      <c r="A105" s="62">
        <v>22201</v>
      </c>
      <c r="B105" s="66" t="s">
        <v>97</v>
      </c>
      <c r="C105" s="90">
        <f>VLOOKUP(A105,'Change in Proportion Calc'!$A$5:$P$316,12,FALSE)</f>
        <v>-9962</v>
      </c>
      <c r="D105" s="90">
        <f>VLOOKUP(A105,'Change in Proportion Calc'!$A$5:$P$316,13,FALSE)</f>
        <v>-9962</v>
      </c>
      <c r="E105" s="90">
        <f>VLOOKUP(A105,'Change in Proportion Calc'!$A$5:$P$316,13,FALSE)</f>
        <v>-9962</v>
      </c>
      <c r="F105" s="90">
        <f>VLOOKUP(A105,'Change in Proportion Calc'!$A$5:$P$316,13,FALSE)</f>
        <v>-9962</v>
      </c>
      <c r="G105" s="90">
        <f>VLOOKUP(A105,'Change in Proportion Calc'!$A$5:$P$316,16,FALSE)</f>
        <v>-9761</v>
      </c>
      <c r="H105" s="255"/>
      <c r="I105" s="280">
        <v>30569</v>
      </c>
      <c r="J105" s="280">
        <v>30569</v>
      </c>
      <c r="K105" s="280">
        <v>30569</v>
      </c>
      <c r="L105" s="280">
        <v>30569</v>
      </c>
      <c r="M105" s="281">
        <v>29960</v>
      </c>
      <c r="N105" s="65"/>
      <c r="O105" s="154">
        <v>91489</v>
      </c>
      <c r="P105" s="154">
        <v>91489</v>
      </c>
      <c r="Q105" s="154">
        <v>91489</v>
      </c>
      <c r="R105" s="155">
        <v>58554</v>
      </c>
      <c r="T105" s="197">
        <v>2723</v>
      </c>
      <c r="U105" s="197">
        <v>2723</v>
      </c>
      <c r="V105" s="197">
        <v>1962</v>
      </c>
      <c r="X105" s="281">
        <f>VLOOKUP(A105,'Change in Proportion Calc'!$A$5:$H$316,8,FALSE)+I105+O105+T105</f>
        <v>114819</v>
      </c>
      <c r="Z105" s="280">
        <f t="shared" si="3"/>
        <v>367884</v>
      </c>
      <c r="AA105" s="280">
        <f t="shared" si="4"/>
        <v>49609</v>
      </c>
      <c r="AC105" s="280">
        <f>VLOOKUP(A105,'OPEB Amounts_Report'!$A$10:$F$321,6,FALSE)</f>
        <v>367884</v>
      </c>
      <c r="AD105" s="281">
        <f t="shared" si="5"/>
        <v>0</v>
      </c>
    </row>
    <row r="106" spans="1:30">
      <c r="A106" s="64">
        <v>6016</v>
      </c>
      <c r="B106" s="65" t="s">
        <v>98</v>
      </c>
      <c r="C106" s="90">
        <f>VLOOKUP(A106,'Change in Proportion Calc'!$A$5:$P$316,12,FALSE)</f>
        <v>-37903</v>
      </c>
      <c r="D106" s="90">
        <f>VLOOKUP(A106,'Change in Proportion Calc'!$A$5:$P$316,13,FALSE)</f>
        <v>-37903</v>
      </c>
      <c r="E106" s="90">
        <f>VLOOKUP(A106,'Change in Proportion Calc'!$A$5:$P$316,13,FALSE)</f>
        <v>-37903</v>
      </c>
      <c r="F106" s="90">
        <f>VLOOKUP(A106,'Change in Proportion Calc'!$A$5:$P$316,13,FALSE)</f>
        <v>-37903</v>
      </c>
      <c r="G106" s="90">
        <f>VLOOKUP(A106,'Change in Proportion Calc'!$A$5:$P$316,16,FALSE)</f>
        <v>-37145</v>
      </c>
      <c r="H106" s="255"/>
      <c r="I106" s="280">
        <v>68781</v>
      </c>
      <c r="J106" s="280">
        <v>68781</v>
      </c>
      <c r="K106" s="280">
        <v>68781</v>
      </c>
      <c r="L106" s="280">
        <v>68781</v>
      </c>
      <c r="M106" s="281">
        <v>67406</v>
      </c>
      <c r="N106" s="65"/>
      <c r="O106" s="154">
        <v>36188</v>
      </c>
      <c r="P106" s="154">
        <v>36188</v>
      </c>
      <c r="Q106" s="154">
        <v>36188</v>
      </c>
      <c r="R106" s="155">
        <v>23161</v>
      </c>
      <c r="T106" s="197">
        <v>-12838</v>
      </c>
      <c r="U106" s="197">
        <v>-12838</v>
      </c>
      <c r="V106" s="197">
        <v>-9243</v>
      </c>
      <c r="X106" s="281">
        <f>VLOOKUP(A106,'Change in Proportion Calc'!$A$5:$H$316,8,FALSE)+I106+O106+T106</f>
        <v>54228</v>
      </c>
      <c r="Z106" s="280">
        <f t="shared" si="3"/>
        <v>369286</v>
      </c>
      <c r="AA106" s="280">
        <f t="shared" si="4"/>
        <v>210838</v>
      </c>
      <c r="AC106" s="280">
        <f>VLOOKUP(A106,'OPEB Amounts_Report'!$A$10:$F$321,6,FALSE)</f>
        <v>369286</v>
      </c>
      <c r="AD106" s="281">
        <f t="shared" si="5"/>
        <v>0</v>
      </c>
    </row>
    <row r="107" spans="1:30">
      <c r="A107" s="62">
        <v>2432</v>
      </c>
      <c r="B107" s="66" t="s">
        <v>99</v>
      </c>
      <c r="C107" s="90">
        <f>VLOOKUP(A107,'Change in Proportion Calc'!$A$5:$P$316,12,FALSE)</f>
        <v>147401</v>
      </c>
      <c r="D107" s="90">
        <f>VLOOKUP(A107,'Change in Proportion Calc'!$A$5:$P$316,13,FALSE)</f>
        <v>147401</v>
      </c>
      <c r="E107" s="90">
        <f>VLOOKUP(A107,'Change in Proportion Calc'!$A$5:$P$316,13,FALSE)</f>
        <v>147401</v>
      </c>
      <c r="F107" s="90">
        <f>VLOOKUP(A107,'Change in Proportion Calc'!$A$5:$P$316,13,FALSE)</f>
        <v>147401</v>
      </c>
      <c r="G107" s="90">
        <f>VLOOKUP(A107,'Change in Proportion Calc'!$A$5:$P$316,16,FALSE)</f>
        <v>144452</v>
      </c>
      <c r="H107" s="255"/>
      <c r="I107" s="280">
        <v>71958</v>
      </c>
      <c r="J107" s="280">
        <v>71958</v>
      </c>
      <c r="K107" s="280">
        <v>71958</v>
      </c>
      <c r="L107" s="280">
        <v>71958</v>
      </c>
      <c r="M107" s="281">
        <v>70521</v>
      </c>
      <c r="N107" s="65"/>
      <c r="O107" s="154">
        <v>122244</v>
      </c>
      <c r="P107" s="154">
        <v>122244</v>
      </c>
      <c r="Q107" s="154">
        <v>122244</v>
      </c>
      <c r="R107" s="155">
        <v>78238</v>
      </c>
      <c r="T107" s="197">
        <v>13908</v>
      </c>
      <c r="U107" s="197">
        <v>13908</v>
      </c>
      <c r="V107" s="197">
        <v>10012</v>
      </c>
      <c r="X107" s="281">
        <f>VLOOKUP(A107,'Change in Proportion Calc'!$A$5:$H$316,8,FALSE)+I107+O107+T107</f>
        <v>355511</v>
      </c>
      <c r="Z107" s="280">
        <f t="shared" si="3"/>
        <v>1367097</v>
      </c>
      <c r="AA107" s="280">
        <f t="shared" si="4"/>
        <v>0</v>
      </c>
      <c r="AC107" s="280">
        <f>VLOOKUP(A107,'OPEB Amounts_Report'!$A$10:$F$321,6,FALSE)</f>
        <v>1367097</v>
      </c>
      <c r="AD107" s="281">
        <f t="shared" si="5"/>
        <v>0</v>
      </c>
    </row>
    <row r="108" spans="1:30">
      <c r="A108" s="64">
        <v>16052</v>
      </c>
      <c r="B108" s="65" t="s">
        <v>100</v>
      </c>
      <c r="C108" s="90">
        <f>VLOOKUP(A108,'Change in Proportion Calc'!$A$5:$P$316,12,FALSE)</f>
        <v>-200044</v>
      </c>
      <c r="D108" s="90">
        <f>VLOOKUP(A108,'Change in Proportion Calc'!$A$5:$P$316,13,FALSE)</f>
        <v>-200044</v>
      </c>
      <c r="E108" s="90">
        <f>VLOOKUP(A108,'Change in Proportion Calc'!$A$5:$P$316,13,FALSE)</f>
        <v>-200044</v>
      </c>
      <c r="F108" s="90">
        <f>VLOOKUP(A108,'Change in Proportion Calc'!$A$5:$P$316,13,FALSE)</f>
        <v>-200044</v>
      </c>
      <c r="G108" s="90">
        <f>VLOOKUP(A108,'Change in Proportion Calc'!$A$5:$P$316,16,FALSE)</f>
        <v>-196043</v>
      </c>
      <c r="H108" s="255"/>
      <c r="I108" s="280">
        <v>990156</v>
      </c>
      <c r="J108" s="280">
        <v>990156</v>
      </c>
      <c r="K108" s="280">
        <v>990156</v>
      </c>
      <c r="L108" s="280">
        <v>990156</v>
      </c>
      <c r="M108" s="281">
        <v>970355</v>
      </c>
      <c r="N108" s="65"/>
      <c r="O108" s="154">
        <v>113901</v>
      </c>
      <c r="P108" s="154">
        <v>113901</v>
      </c>
      <c r="Q108" s="154">
        <v>113901</v>
      </c>
      <c r="R108" s="155">
        <v>72895</v>
      </c>
      <c r="T108" s="197">
        <v>-209782</v>
      </c>
      <c r="U108" s="197">
        <v>-209782</v>
      </c>
      <c r="V108" s="197">
        <v>-151044</v>
      </c>
      <c r="X108" s="281">
        <f>VLOOKUP(A108,'Change in Proportion Calc'!$A$5:$H$316,8,FALSE)+I108+O108+T108</f>
        <v>694231</v>
      </c>
      <c r="Z108" s="280">
        <f t="shared" si="3"/>
        <v>4241520</v>
      </c>
      <c r="AA108" s="280">
        <f t="shared" si="4"/>
        <v>1357045</v>
      </c>
      <c r="AC108" s="280">
        <f>VLOOKUP(A108,'OPEB Amounts_Report'!$A$10:$F$321,6,FALSE)</f>
        <v>4241520</v>
      </c>
      <c r="AD108" s="281">
        <f t="shared" si="5"/>
        <v>0</v>
      </c>
    </row>
    <row r="109" spans="1:30">
      <c r="A109" s="62">
        <v>11118</v>
      </c>
      <c r="B109" s="66" t="s">
        <v>101</v>
      </c>
      <c r="C109" s="90">
        <f>VLOOKUP(A109,'Change in Proportion Calc'!$A$5:$P$316,12,FALSE)</f>
        <v>-28832</v>
      </c>
      <c r="D109" s="90">
        <f>VLOOKUP(A109,'Change in Proportion Calc'!$A$5:$P$316,13,FALSE)</f>
        <v>-28832</v>
      </c>
      <c r="E109" s="90">
        <f>VLOOKUP(A109,'Change in Proportion Calc'!$A$5:$P$316,13,FALSE)</f>
        <v>-28832</v>
      </c>
      <c r="F109" s="90">
        <f>VLOOKUP(A109,'Change in Proportion Calc'!$A$5:$P$316,13,FALSE)</f>
        <v>-28832</v>
      </c>
      <c r="G109" s="90">
        <f>VLOOKUP(A109,'Change in Proportion Calc'!$A$5:$P$316,16,FALSE)</f>
        <v>-28257</v>
      </c>
      <c r="H109" s="255"/>
      <c r="I109" s="280">
        <v>-19921</v>
      </c>
      <c r="J109" s="280">
        <v>-19921</v>
      </c>
      <c r="K109" s="280">
        <v>-19921</v>
      </c>
      <c r="L109" s="280">
        <v>-19921</v>
      </c>
      <c r="M109" s="281">
        <v>-19525</v>
      </c>
      <c r="N109" s="65"/>
      <c r="O109" s="154">
        <v>7083</v>
      </c>
      <c r="P109" s="154">
        <v>7083</v>
      </c>
      <c r="Q109" s="154">
        <v>7083</v>
      </c>
      <c r="R109" s="155">
        <v>4531</v>
      </c>
      <c r="T109" s="197">
        <v>5641</v>
      </c>
      <c r="U109" s="197">
        <v>5641</v>
      </c>
      <c r="V109" s="197">
        <v>4061</v>
      </c>
      <c r="X109" s="281">
        <f>VLOOKUP(A109,'Change in Proportion Calc'!$A$5:$H$316,8,FALSE)+I109+O109+T109</f>
        <v>-36029</v>
      </c>
      <c r="Z109" s="280">
        <f t="shared" si="3"/>
        <v>28399</v>
      </c>
      <c r="AA109" s="280">
        <f t="shared" si="4"/>
        <v>222873</v>
      </c>
      <c r="AC109" s="280">
        <f>VLOOKUP(A109,'OPEB Amounts_Report'!$A$10:$F$321,6,FALSE)</f>
        <v>28399</v>
      </c>
      <c r="AD109" s="281">
        <f t="shared" si="5"/>
        <v>0</v>
      </c>
    </row>
    <row r="110" spans="1:30">
      <c r="A110" s="64">
        <v>27083</v>
      </c>
      <c r="B110" s="65" t="s">
        <v>102</v>
      </c>
      <c r="C110" s="90">
        <f>VLOOKUP(A110,'Change in Proportion Calc'!$A$5:$P$316,12,FALSE)</f>
        <v>-11824</v>
      </c>
      <c r="D110" s="90">
        <f>VLOOKUP(A110,'Change in Proportion Calc'!$A$5:$P$316,13,FALSE)</f>
        <v>-11824</v>
      </c>
      <c r="E110" s="90">
        <f>VLOOKUP(A110,'Change in Proportion Calc'!$A$5:$P$316,13,FALSE)</f>
        <v>-11824</v>
      </c>
      <c r="F110" s="90">
        <f>VLOOKUP(A110,'Change in Proportion Calc'!$A$5:$P$316,13,FALSE)</f>
        <v>-11824</v>
      </c>
      <c r="G110" s="90">
        <f>VLOOKUP(A110,'Change in Proportion Calc'!$A$5:$P$316,16,FALSE)</f>
        <v>-11590</v>
      </c>
      <c r="H110" s="255"/>
      <c r="I110" s="280">
        <v>30741</v>
      </c>
      <c r="J110" s="280">
        <v>30741</v>
      </c>
      <c r="K110" s="280">
        <v>30741</v>
      </c>
      <c r="L110" s="280">
        <v>30741</v>
      </c>
      <c r="M110" s="281">
        <v>30127</v>
      </c>
      <c r="N110" s="65"/>
      <c r="O110" s="154">
        <v>-3202</v>
      </c>
      <c r="P110" s="154">
        <v>-3202</v>
      </c>
      <c r="Q110" s="154">
        <v>-3202</v>
      </c>
      <c r="R110" s="155">
        <v>-2047</v>
      </c>
      <c r="T110" s="197">
        <v>-1556</v>
      </c>
      <c r="U110" s="197">
        <v>-1556</v>
      </c>
      <c r="V110" s="197">
        <v>-1121</v>
      </c>
      <c r="X110" s="281">
        <f>VLOOKUP(A110,'Change in Proportion Calc'!$A$5:$H$316,8,FALSE)+I110+O110+T110</f>
        <v>14159</v>
      </c>
      <c r="Z110" s="280">
        <f t="shared" si="3"/>
        <v>122350</v>
      </c>
      <c r="AA110" s="280">
        <f t="shared" si="4"/>
        <v>70014</v>
      </c>
      <c r="AC110" s="280">
        <f>VLOOKUP(A110,'OPEB Amounts_Report'!$A$10:$F$321,6,FALSE)</f>
        <v>122350</v>
      </c>
      <c r="AD110" s="281">
        <f t="shared" si="5"/>
        <v>0</v>
      </c>
    </row>
    <row r="111" spans="1:30">
      <c r="A111" s="62">
        <v>7021</v>
      </c>
      <c r="B111" s="66" t="s">
        <v>103</v>
      </c>
      <c r="C111" s="90">
        <f>VLOOKUP(A111,'Change in Proportion Calc'!$A$5:$P$316,12,FALSE)</f>
        <v>278442</v>
      </c>
      <c r="D111" s="90">
        <f>VLOOKUP(A111,'Change in Proportion Calc'!$A$5:$P$316,13,FALSE)</f>
        <v>278442</v>
      </c>
      <c r="E111" s="90">
        <f>VLOOKUP(A111,'Change in Proportion Calc'!$A$5:$P$316,13,FALSE)</f>
        <v>278442</v>
      </c>
      <c r="F111" s="90">
        <f>VLOOKUP(A111,'Change in Proportion Calc'!$A$5:$P$316,13,FALSE)</f>
        <v>278442</v>
      </c>
      <c r="G111" s="90">
        <f>VLOOKUP(A111,'Change in Proportion Calc'!$A$5:$P$316,16,FALSE)</f>
        <v>272872</v>
      </c>
      <c r="H111" s="255"/>
      <c r="I111" s="280">
        <v>584597</v>
      </c>
      <c r="J111" s="280">
        <v>584597</v>
      </c>
      <c r="K111" s="280">
        <v>584597</v>
      </c>
      <c r="L111" s="280">
        <v>584597</v>
      </c>
      <c r="M111" s="281">
        <v>572903</v>
      </c>
      <c r="N111" s="65"/>
      <c r="O111" s="154">
        <v>89646</v>
      </c>
      <c r="P111" s="154">
        <v>89646</v>
      </c>
      <c r="Q111" s="154">
        <v>89646</v>
      </c>
      <c r="R111" s="155">
        <v>57373</v>
      </c>
      <c r="T111" s="197">
        <v>-717072</v>
      </c>
      <c r="U111" s="197">
        <v>-717072</v>
      </c>
      <c r="V111" s="197">
        <v>-516292</v>
      </c>
      <c r="X111" s="281">
        <f>VLOOKUP(A111,'Change in Proportion Calc'!$A$5:$H$316,8,FALSE)+I111+O111+T111</f>
        <v>235613</v>
      </c>
      <c r="Z111" s="280">
        <f t="shared" si="3"/>
        <v>3949999</v>
      </c>
      <c r="AA111" s="280">
        <f t="shared" si="4"/>
        <v>1233364</v>
      </c>
      <c r="AC111" s="280">
        <f>VLOOKUP(A111,'OPEB Amounts_Report'!$A$10:$F$321,6,FALSE)</f>
        <v>3949999</v>
      </c>
      <c r="AD111" s="281">
        <f t="shared" si="5"/>
        <v>0</v>
      </c>
    </row>
    <row r="112" spans="1:30">
      <c r="A112" s="64">
        <v>4140</v>
      </c>
      <c r="B112" s="65" t="s">
        <v>104</v>
      </c>
      <c r="C112" s="90">
        <f>VLOOKUP(A112,'Change in Proportion Calc'!$A$5:$P$316,12,FALSE)</f>
        <v>4859</v>
      </c>
      <c r="D112" s="90">
        <f>VLOOKUP(A112,'Change in Proportion Calc'!$A$5:$P$316,13,FALSE)</f>
        <v>4859</v>
      </c>
      <c r="E112" s="90">
        <f>VLOOKUP(A112,'Change in Proportion Calc'!$A$5:$P$316,13,FALSE)</f>
        <v>4859</v>
      </c>
      <c r="F112" s="90">
        <f>VLOOKUP(A112,'Change in Proportion Calc'!$A$5:$P$316,13,FALSE)</f>
        <v>4859</v>
      </c>
      <c r="G112" s="90">
        <f>VLOOKUP(A112,'Change in Proportion Calc'!$A$5:$P$316,16,FALSE)</f>
        <v>4764</v>
      </c>
      <c r="H112" s="255"/>
      <c r="I112" s="280">
        <v>5582</v>
      </c>
      <c r="J112" s="280">
        <v>5582</v>
      </c>
      <c r="K112" s="280">
        <v>5582</v>
      </c>
      <c r="L112" s="280">
        <v>5582</v>
      </c>
      <c r="M112" s="281">
        <v>5468</v>
      </c>
      <c r="N112" s="65"/>
      <c r="O112" s="154">
        <v>0</v>
      </c>
      <c r="P112" s="154">
        <v>0</v>
      </c>
      <c r="Q112" s="154">
        <v>0</v>
      </c>
      <c r="R112" s="155">
        <v>0</v>
      </c>
      <c r="T112" s="197">
        <v>-9336</v>
      </c>
      <c r="U112" s="197">
        <v>-9336</v>
      </c>
      <c r="V112" s="197">
        <v>-6724</v>
      </c>
      <c r="X112" s="281">
        <f>VLOOKUP(A112,'Change in Proportion Calc'!$A$5:$H$316,8,FALSE)+I112+O112+T112</f>
        <v>1105</v>
      </c>
      <c r="Z112" s="280">
        <f t="shared" si="3"/>
        <v>46414</v>
      </c>
      <c r="AA112" s="280">
        <f t="shared" si="4"/>
        <v>16060</v>
      </c>
      <c r="AC112" s="280">
        <f>VLOOKUP(A112,'OPEB Amounts_Report'!$A$10:$F$321,6,FALSE)</f>
        <v>46414</v>
      </c>
      <c r="AD112" s="281">
        <f t="shared" si="5"/>
        <v>0</v>
      </c>
    </row>
    <row r="113" spans="1:30">
      <c r="A113" s="62">
        <v>13041</v>
      </c>
      <c r="B113" s="66" t="s">
        <v>105</v>
      </c>
      <c r="C113" s="90">
        <f>VLOOKUP(A113,'Change in Proportion Calc'!$A$5:$P$316,12,FALSE)</f>
        <v>-563767</v>
      </c>
      <c r="D113" s="90">
        <f>VLOOKUP(A113,'Change in Proportion Calc'!$A$5:$P$316,13,FALSE)</f>
        <v>-563767</v>
      </c>
      <c r="E113" s="90">
        <f>VLOOKUP(A113,'Change in Proportion Calc'!$A$5:$P$316,13,FALSE)</f>
        <v>-563767</v>
      </c>
      <c r="F113" s="90">
        <f>VLOOKUP(A113,'Change in Proportion Calc'!$A$5:$P$316,13,FALSE)</f>
        <v>-563767</v>
      </c>
      <c r="G113" s="90">
        <f>VLOOKUP(A113,'Change in Proportion Calc'!$A$5:$P$316,16,FALSE)</f>
        <v>-552494</v>
      </c>
      <c r="H113" s="255"/>
      <c r="I113" s="280">
        <v>-143916</v>
      </c>
      <c r="J113" s="280">
        <v>-143916</v>
      </c>
      <c r="K113" s="280">
        <v>-143916</v>
      </c>
      <c r="L113" s="280">
        <v>-143916</v>
      </c>
      <c r="M113" s="281">
        <v>-141040</v>
      </c>
      <c r="N113" s="65"/>
      <c r="O113" s="154">
        <v>372651</v>
      </c>
      <c r="P113" s="154">
        <v>372651</v>
      </c>
      <c r="Q113" s="154">
        <v>372651</v>
      </c>
      <c r="R113" s="155">
        <v>238498</v>
      </c>
      <c r="T113" s="197">
        <v>362086</v>
      </c>
      <c r="U113" s="197">
        <v>362086</v>
      </c>
      <c r="V113" s="197">
        <v>260701</v>
      </c>
      <c r="X113" s="281">
        <f>VLOOKUP(A113,'Change in Proportion Calc'!$A$5:$H$316,8,FALSE)+I113+O113+T113</f>
        <v>27053</v>
      </c>
      <c r="Z113" s="280">
        <f t="shared" si="3"/>
        <v>1606587</v>
      </c>
      <c r="AA113" s="280">
        <f t="shared" si="4"/>
        <v>3380350</v>
      </c>
      <c r="AC113" s="280">
        <f>VLOOKUP(A113,'OPEB Amounts_Report'!$A$10:$F$321,6,FALSE)</f>
        <v>1606587</v>
      </c>
      <c r="AD113" s="281">
        <f t="shared" si="5"/>
        <v>0</v>
      </c>
    </row>
    <row r="114" spans="1:30">
      <c r="A114" s="64">
        <v>2339</v>
      </c>
      <c r="B114" s="65" t="s">
        <v>106</v>
      </c>
      <c r="C114" s="90">
        <f>VLOOKUP(A114,'Change in Proportion Calc'!$A$5:$P$316,12,FALSE)</f>
        <v>7775</v>
      </c>
      <c r="D114" s="90">
        <f>VLOOKUP(A114,'Change in Proportion Calc'!$A$5:$P$316,13,FALSE)</f>
        <v>7775</v>
      </c>
      <c r="E114" s="90">
        <f>VLOOKUP(A114,'Change in Proportion Calc'!$A$5:$P$316,13,FALSE)</f>
        <v>7775</v>
      </c>
      <c r="F114" s="90">
        <f>VLOOKUP(A114,'Change in Proportion Calc'!$A$5:$P$316,13,FALSE)</f>
        <v>7775</v>
      </c>
      <c r="G114" s="90">
        <f>VLOOKUP(A114,'Change in Proportion Calc'!$A$5:$P$316,16,FALSE)</f>
        <v>7619</v>
      </c>
      <c r="H114" s="255"/>
      <c r="I114" s="280">
        <v>-773</v>
      </c>
      <c r="J114" s="280">
        <v>-773</v>
      </c>
      <c r="K114" s="280">
        <v>-773</v>
      </c>
      <c r="L114" s="280">
        <v>-773</v>
      </c>
      <c r="M114" s="281">
        <v>-756</v>
      </c>
      <c r="N114" s="65"/>
      <c r="O114" s="154">
        <v>-18531</v>
      </c>
      <c r="P114" s="154">
        <v>-18531</v>
      </c>
      <c r="Q114" s="154">
        <v>-18531</v>
      </c>
      <c r="R114" s="155">
        <v>-11858</v>
      </c>
      <c r="T114" s="197">
        <v>-17604</v>
      </c>
      <c r="U114" s="197">
        <v>-17604</v>
      </c>
      <c r="V114" s="197">
        <v>-12673</v>
      </c>
      <c r="X114" s="281">
        <f>VLOOKUP(A114,'Change in Proportion Calc'!$A$5:$H$316,8,FALSE)+I114+O114+T114</f>
        <v>-29133</v>
      </c>
      <c r="Z114" s="280">
        <f t="shared" si="3"/>
        <v>38719</v>
      </c>
      <c r="AA114" s="280">
        <f t="shared" si="4"/>
        <v>82272</v>
      </c>
      <c r="AC114" s="280">
        <f>VLOOKUP(A114,'OPEB Amounts_Report'!$A$10:$F$321,6,FALSE)</f>
        <v>38719</v>
      </c>
      <c r="AD114" s="281">
        <f t="shared" si="5"/>
        <v>0</v>
      </c>
    </row>
    <row r="115" spans="1:30">
      <c r="A115" s="62">
        <v>2362</v>
      </c>
      <c r="B115" s="66" t="s">
        <v>107</v>
      </c>
      <c r="C115" s="90">
        <f>VLOOKUP(A115,'Change in Proportion Calc'!$A$5:$P$316,12,FALSE)</f>
        <v>-101723</v>
      </c>
      <c r="D115" s="90">
        <f>VLOOKUP(A115,'Change in Proportion Calc'!$A$5:$P$316,13,FALSE)</f>
        <v>-101723</v>
      </c>
      <c r="E115" s="90">
        <f>VLOOKUP(A115,'Change in Proportion Calc'!$A$5:$P$316,13,FALSE)</f>
        <v>-101723</v>
      </c>
      <c r="F115" s="90">
        <f>VLOOKUP(A115,'Change in Proportion Calc'!$A$5:$P$316,13,FALSE)</f>
        <v>-101723</v>
      </c>
      <c r="G115" s="90">
        <f>VLOOKUP(A115,'Change in Proportion Calc'!$A$5:$P$316,16,FALSE)</f>
        <v>-99687</v>
      </c>
      <c r="H115" s="255"/>
      <c r="I115" s="280">
        <v>-14254</v>
      </c>
      <c r="J115" s="280">
        <v>-14254</v>
      </c>
      <c r="K115" s="280">
        <v>-14254</v>
      </c>
      <c r="L115" s="280">
        <v>-14254</v>
      </c>
      <c r="M115" s="281">
        <v>-13971</v>
      </c>
      <c r="N115" s="65"/>
      <c r="O115" s="154">
        <v>8053</v>
      </c>
      <c r="P115" s="154">
        <v>8053</v>
      </c>
      <c r="Q115" s="154">
        <v>8053</v>
      </c>
      <c r="R115" s="155">
        <v>5152</v>
      </c>
      <c r="T115" s="197">
        <v>50476</v>
      </c>
      <c r="U115" s="197">
        <v>50476</v>
      </c>
      <c r="V115" s="197">
        <v>36343</v>
      </c>
      <c r="X115" s="281">
        <f>VLOOKUP(A115,'Change in Proportion Calc'!$A$5:$H$316,8,FALSE)+I115+O115+T115</f>
        <v>-57448</v>
      </c>
      <c r="Z115" s="280">
        <f t="shared" si="3"/>
        <v>108077</v>
      </c>
      <c r="AA115" s="280">
        <f t="shared" si="4"/>
        <v>563312</v>
      </c>
      <c r="AC115" s="280">
        <f>VLOOKUP(A115,'OPEB Amounts_Report'!$A$10:$F$321,6,FALSE)</f>
        <v>108077</v>
      </c>
      <c r="AD115" s="281">
        <f t="shared" si="5"/>
        <v>0</v>
      </c>
    </row>
    <row r="116" spans="1:30">
      <c r="A116" s="64">
        <v>5013</v>
      </c>
      <c r="B116" s="65" t="s">
        <v>108</v>
      </c>
      <c r="C116" s="90">
        <f>VLOOKUP(A116,'Change in Proportion Calc'!$A$5:$P$316,12,FALSE)</f>
        <v>7370</v>
      </c>
      <c r="D116" s="90">
        <f>VLOOKUP(A116,'Change in Proportion Calc'!$A$5:$P$316,13,FALSE)</f>
        <v>7370</v>
      </c>
      <c r="E116" s="90">
        <f>VLOOKUP(A116,'Change in Proportion Calc'!$A$5:$P$316,13,FALSE)</f>
        <v>7370</v>
      </c>
      <c r="F116" s="90">
        <f>VLOOKUP(A116,'Change in Proportion Calc'!$A$5:$P$316,13,FALSE)</f>
        <v>7370</v>
      </c>
      <c r="G116" s="90">
        <f>VLOOKUP(A116,'Change in Proportion Calc'!$A$5:$P$316,16,FALSE)</f>
        <v>7223</v>
      </c>
      <c r="H116" s="255"/>
      <c r="I116" s="280">
        <v>2662</v>
      </c>
      <c r="J116" s="280">
        <v>2662</v>
      </c>
      <c r="K116" s="280">
        <v>2662</v>
      </c>
      <c r="L116" s="280">
        <v>2662</v>
      </c>
      <c r="M116" s="281">
        <v>2608</v>
      </c>
      <c r="N116" s="65"/>
      <c r="O116" s="154">
        <v>-2038</v>
      </c>
      <c r="P116" s="154">
        <v>-2038</v>
      </c>
      <c r="Q116" s="154">
        <v>-2038</v>
      </c>
      <c r="R116" s="155">
        <v>-1302</v>
      </c>
      <c r="T116" s="197">
        <v>-486</v>
      </c>
      <c r="U116" s="197">
        <v>-486</v>
      </c>
      <c r="V116" s="197">
        <v>-352</v>
      </c>
      <c r="X116" s="281">
        <f>VLOOKUP(A116,'Change in Proportion Calc'!$A$5:$H$316,8,FALSE)+I116+O116+T116</f>
        <v>7508</v>
      </c>
      <c r="Z116" s="280">
        <f t="shared" si="3"/>
        <v>47297</v>
      </c>
      <c r="AA116" s="280">
        <f t="shared" si="4"/>
        <v>6216</v>
      </c>
      <c r="AC116" s="280">
        <f>VLOOKUP(A116,'OPEB Amounts_Report'!$A$10:$F$321,6,FALSE)</f>
        <v>47297</v>
      </c>
      <c r="AD116" s="281">
        <f t="shared" si="5"/>
        <v>0</v>
      </c>
    </row>
    <row r="117" spans="1:30">
      <c r="A117" s="62">
        <v>3110</v>
      </c>
      <c r="B117" s="66" t="s">
        <v>109</v>
      </c>
      <c r="C117" s="90">
        <f>VLOOKUP(A117,'Change in Proportion Calc'!$A$5:$P$316,12,FALSE)</f>
        <v>3483</v>
      </c>
      <c r="D117" s="90">
        <f>VLOOKUP(A117,'Change in Proportion Calc'!$A$5:$P$316,13,FALSE)</f>
        <v>3483</v>
      </c>
      <c r="E117" s="90">
        <f>VLOOKUP(A117,'Change in Proportion Calc'!$A$5:$P$316,13,FALSE)</f>
        <v>3483</v>
      </c>
      <c r="F117" s="90">
        <f>VLOOKUP(A117,'Change in Proportion Calc'!$A$5:$P$316,13,FALSE)</f>
        <v>3483</v>
      </c>
      <c r="G117" s="90">
        <f>VLOOKUP(A117,'Change in Proportion Calc'!$A$5:$P$316,16,FALSE)</f>
        <v>3411</v>
      </c>
      <c r="H117" s="255"/>
      <c r="I117" s="280">
        <v>-60022</v>
      </c>
      <c r="J117" s="280">
        <v>-60022</v>
      </c>
      <c r="K117" s="280">
        <v>-60022</v>
      </c>
      <c r="L117" s="280">
        <v>-60022</v>
      </c>
      <c r="M117" s="281">
        <v>-58824</v>
      </c>
      <c r="N117" s="65"/>
      <c r="O117" s="154">
        <v>-55398</v>
      </c>
      <c r="P117" s="154">
        <v>-55398</v>
      </c>
      <c r="Q117" s="154">
        <v>-55398</v>
      </c>
      <c r="R117" s="155">
        <v>-35455</v>
      </c>
      <c r="T117" s="197">
        <v>-57868</v>
      </c>
      <c r="U117" s="197">
        <v>-57868</v>
      </c>
      <c r="V117" s="197">
        <v>-41663</v>
      </c>
      <c r="X117" s="281">
        <f>VLOOKUP(A117,'Change in Proportion Calc'!$A$5:$H$316,8,FALSE)+I117+O117+T117</f>
        <v>-169805</v>
      </c>
      <c r="Z117" s="280">
        <f t="shared" si="3"/>
        <v>17343</v>
      </c>
      <c r="AA117" s="280">
        <f t="shared" si="4"/>
        <v>484672</v>
      </c>
      <c r="AC117" s="280">
        <f>VLOOKUP(A117,'OPEB Amounts_Report'!$A$10:$F$321,6,FALSE)</f>
        <v>17343</v>
      </c>
      <c r="AD117" s="281">
        <f t="shared" si="5"/>
        <v>0</v>
      </c>
    </row>
    <row r="118" spans="1:30">
      <c r="A118" s="64">
        <v>14044</v>
      </c>
      <c r="B118" s="65" t="s">
        <v>110</v>
      </c>
      <c r="C118" s="90">
        <f>VLOOKUP(A118,'Change in Proportion Calc'!$A$5:$P$316,12,FALSE)</f>
        <v>-69570</v>
      </c>
      <c r="D118" s="90">
        <f>VLOOKUP(A118,'Change in Proportion Calc'!$A$5:$P$316,13,FALSE)</f>
        <v>-69570</v>
      </c>
      <c r="E118" s="90">
        <f>VLOOKUP(A118,'Change in Proportion Calc'!$A$5:$P$316,13,FALSE)</f>
        <v>-69570</v>
      </c>
      <c r="F118" s="90">
        <f>VLOOKUP(A118,'Change in Proportion Calc'!$A$5:$P$316,13,FALSE)</f>
        <v>-69570</v>
      </c>
      <c r="G118" s="90">
        <f>VLOOKUP(A118,'Change in Proportion Calc'!$A$5:$P$316,16,FALSE)</f>
        <v>-68178</v>
      </c>
      <c r="H118" s="255"/>
      <c r="I118" s="280">
        <v>164697</v>
      </c>
      <c r="J118" s="280">
        <v>164697</v>
      </c>
      <c r="K118" s="280">
        <v>164697</v>
      </c>
      <c r="L118" s="280">
        <v>164697</v>
      </c>
      <c r="M118" s="281">
        <v>161402</v>
      </c>
      <c r="N118" s="65"/>
      <c r="O118" s="154">
        <v>-58891</v>
      </c>
      <c r="P118" s="154">
        <v>-58891</v>
      </c>
      <c r="Q118" s="154">
        <v>-58891</v>
      </c>
      <c r="R118" s="155">
        <v>-37689</v>
      </c>
      <c r="T118" s="197">
        <v>-88114</v>
      </c>
      <c r="U118" s="197">
        <v>-88114</v>
      </c>
      <c r="V118" s="197">
        <v>-63444</v>
      </c>
      <c r="X118" s="281">
        <f>VLOOKUP(A118,'Change in Proportion Calc'!$A$5:$H$316,8,FALSE)+I118+O118+T118</f>
        <v>-51878</v>
      </c>
      <c r="Z118" s="280">
        <f t="shared" si="3"/>
        <v>655493</v>
      </c>
      <c r="AA118" s="280">
        <f t="shared" si="4"/>
        <v>653487</v>
      </c>
      <c r="AC118" s="280">
        <f>VLOOKUP(A118,'OPEB Amounts_Report'!$A$10:$F$321,6,FALSE)</f>
        <v>655493</v>
      </c>
      <c r="AD118" s="281">
        <f t="shared" si="5"/>
        <v>0</v>
      </c>
    </row>
    <row r="119" spans="1:30">
      <c r="A119" s="62">
        <v>4009</v>
      </c>
      <c r="B119" s="66" t="s">
        <v>111</v>
      </c>
      <c r="C119" s="90">
        <f>VLOOKUP(A119,'Change in Proportion Calc'!$A$5:$P$316,12,FALSE)</f>
        <v>-17818</v>
      </c>
      <c r="D119" s="90">
        <f>VLOOKUP(A119,'Change in Proportion Calc'!$A$5:$P$316,13,FALSE)</f>
        <v>-17818</v>
      </c>
      <c r="E119" s="90">
        <f>VLOOKUP(A119,'Change in Proportion Calc'!$A$5:$P$316,13,FALSE)</f>
        <v>-17818</v>
      </c>
      <c r="F119" s="90">
        <f>VLOOKUP(A119,'Change in Proportion Calc'!$A$5:$P$316,13,FALSE)</f>
        <v>-17818</v>
      </c>
      <c r="G119" s="90">
        <f>VLOOKUP(A119,'Change in Proportion Calc'!$A$5:$P$316,16,FALSE)</f>
        <v>-17460</v>
      </c>
      <c r="H119" s="255"/>
      <c r="I119" s="280">
        <v>-22240</v>
      </c>
      <c r="J119" s="280">
        <v>-22240</v>
      </c>
      <c r="K119" s="280">
        <v>-22240</v>
      </c>
      <c r="L119" s="280">
        <v>-22240</v>
      </c>
      <c r="M119" s="281">
        <v>-21796</v>
      </c>
      <c r="N119" s="65"/>
      <c r="O119" s="154">
        <v>-40651</v>
      </c>
      <c r="P119" s="154">
        <v>-40651</v>
      </c>
      <c r="Q119" s="154">
        <v>-40651</v>
      </c>
      <c r="R119" s="155">
        <v>-26017</v>
      </c>
      <c r="T119" s="197">
        <v>16533</v>
      </c>
      <c r="U119" s="197">
        <v>16533</v>
      </c>
      <c r="V119" s="197">
        <v>11906</v>
      </c>
      <c r="X119" s="281">
        <f>VLOOKUP(A119,'Change in Proportion Calc'!$A$5:$H$316,8,FALSE)+I119+O119+T119</f>
        <v>-64176</v>
      </c>
      <c r="Z119" s="280">
        <f t="shared" si="3"/>
        <v>28439</v>
      </c>
      <c r="AA119" s="280">
        <f t="shared" si="4"/>
        <v>284567</v>
      </c>
      <c r="AC119" s="280">
        <f>VLOOKUP(A119,'OPEB Amounts_Report'!$A$10:$F$321,6,FALSE)</f>
        <v>28439</v>
      </c>
      <c r="AD119" s="281">
        <f t="shared" si="5"/>
        <v>0</v>
      </c>
    </row>
    <row r="120" spans="1:30">
      <c r="A120" s="64">
        <v>7022</v>
      </c>
      <c r="B120" s="65" t="s">
        <v>112</v>
      </c>
      <c r="C120" s="90">
        <f>VLOOKUP(A120,'Change in Proportion Calc'!$A$5:$P$316,12,FALSE)</f>
        <v>-18304</v>
      </c>
      <c r="D120" s="90">
        <f>VLOOKUP(A120,'Change in Proportion Calc'!$A$5:$P$316,13,FALSE)</f>
        <v>-18304</v>
      </c>
      <c r="E120" s="90">
        <f>VLOOKUP(A120,'Change in Proportion Calc'!$A$5:$P$316,13,FALSE)</f>
        <v>-18304</v>
      </c>
      <c r="F120" s="90">
        <f>VLOOKUP(A120,'Change in Proportion Calc'!$A$5:$P$316,13,FALSE)</f>
        <v>-18304</v>
      </c>
      <c r="G120" s="90">
        <f>VLOOKUP(A120,'Change in Proportion Calc'!$A$5:$P$316,16,FALSE)</f>
        <v>-17936</v>
      </c>
      <c r="H120" s="255"/>
      <c r="I120" s="280">
        <v>44222</v>
      </c>
      <c r="J120" s="280">
        <v>44222</v>
      </c>
      <c r="K120" s="280">
        <v>44222</v>
      </c>
      <c r="L120" s="280">
        <v>44222</v>
      </c>
      <c r="M120" s="281">
        <v>43340</v>
      </c>
      <c r="N120" s="65"/>
      <c r="O120" s="154">
        <v>17658</v>
      </c>
      <c r="P120" s="154">
        <v>17658</v>
      </c>
      <c r="Q120" s="154">
        <v>17658</v>
      </c>
      <c r="R120" s="155">
        <v>11299</v>
      </c>
      <c r="T120" s="197">
        <v>-20132</v>
      </c>
      <c r="U120" s="197">
        <v>-20132</v>
      </c>
      <c r="V120" s="197">
        <v>-14496</v>
      </c>
      <c r="X120" s="281">
        <f>VLOOKUP(A120,'Change in Proportion Calc'!$A$5:$H$316,8,FALSE)+I120+O120+T120</f>
        <v>23444</v>
      </c>
      <c r="Z120" s="280">
        <f t="shared" si="3"/>
        <v>222621</v>
      </c>
      <c r="AA120" s="280">
        <f t="shared" si="4"/>
        <v>125780</v>
      </c>
      <c r="AC120" s="280">
        <f>VLOOKUP(A120,'OPEB Amounts_Report'!$A$10:$F$321,6,FALSE)</f>
        <v>222621</v>
      </c>
      <c r="AD120" s="281">
        <f t="shared" si="5"/>
        <v>0</v>
      </c>
    </row>
    <row r="121" spans="1:30">
      <c r="A121" s="62">
        <v>2430</v>
      </c>
      <c r="B121" s="66" t="s">
        <v>113</v>
      </c>
      <c r="C121" s="90">
        <f>VLOOKUP(A121,'Change in Proportion Calc'!$A$5:$P$316,12,FALSE)</f>
        <v>-7775</v>
      </c>
      <c r="D121" s="90">
        <f>VLOOKUP(A121,'Change in Proportion Calc'!$A$5:$P$316,13,FALSE)</f>
        <v>-7775</v>
      </c>
      <c r="E121" s="90">
        <f>VLOOKUP(A121,'Change in Proportion Calc'!$A$5:$P$316,13,FALSE)</f>
        <v>-7775</v>
      </c>
      <c r="F121" s="90">
        <f>VLOOKUP(A121,'Change in Proportion Calc'!$A$5:$P$316,13,FALSE)</f>
        <v>-7775</v>
      </c>
      <c r="G121" s="90">
        <f>VLOOKUP(A121,'Change in Proportion Calc'!$A$5:$P$316,16,FALSE)</f>
        <v>-7619</v>
      </c>
      <c r="H121" s="255"/>
      <c r="I121" s="280">
        <v>-42505</v>
      </c>
      <c r="J121" s="280">
        <v>-42505</v>
      </c>
      <c r="K121" s="280">
        <v>-42505</v>
      </c>
      <c r="L121" s="280">
        <v>-42505</v>
      </c>
      <c r="M121" s="281">
        <v>-41656</v>
      </c>
      <c r="N121" s="65"/>
      <c r="O121" s="154">
        <v>6694</v>
      </c>
      <c r="P121" s="154">
        <v>6694</v>
      </c>
      <c r="Q121" s="154">
        <v>6694</v>
      </c>
      <c r="R121" s="155">
        <v>4286</v>
      </c>
      <c r="T121" s="197">
        <v>16144</v>
      </c>
      <c r="U121" s="197">
        <v>16144</v>
      </c>
      <c r="V121" s="197">
        <v>11626</v>
      </c>
      <c r="X121" s="281">
        <f>VLOOKUP(A121,'Change in Proportion Calc'!$A$5:$H$316,8,FALSE)+I121+O121+T121</f>
        <v>-27442</v>
      </c>
      <c r="Z121" s="280">
        <f t="shared" si="3"/>
        <v>45444</v>
      </c>
      <c r="AA121" s="280">
        <f t="shared" si="4"/>
        <v>207890</v>
      </c>
      <c r="AC121" s="280">
        <f>VLOOKUP(A121,'OPEB Amounts_Report'!$A$10:$F$321,6,FALSE)</f>
        <v>45444</v>
      </c>
      <c r="AD121" s="281">
        <f t="shared" si="5"/>
        <v>0</v>
      </c>
    </row>
    <row r="122" spans="1:30">
      <c r="A122" s="64">
        <v>9150</v>
      </c>
      <c r="B122" s="65" t="s">
        <v>114</v>
      </c>
      <c r="C122" s="90">
        <f>VLOOKUP(A122,'Change in Proportion Calc'!$A$5:$P$316,12,FALSE)</f>
        <v>-17089</v>
      </c>
      <c r="D122" s="90">
        <f>VLOOKUP(A122,'Change in Proportion Calc'!$A$5:$P$316,13,FALSE)</f>
        <v>-17089</v>
      </c>
      <c r="E122" s="90">
        <f>VLOOKUP(A122,'Change in Proportion Calc'!$A$5:$P$316,13,FALSE)</f>
        <v>-17089</v>
      </c>
      <c r="F122" s="90">
        <f>VLOOKUP(A122,'Change in Proportion Calc'!$A$5:$P$316,13,FALSE)</f>
        <v>-17089</v>
      </c>
      <c r="G122" s="90">
        <f>VLOOKUP(A122,'Change in Proportion Calc'!$A$5:$P$316,16,FALSE)</f>
        <v>-16746</v>
      </c>
      <c r="H122" s="255"/>
      <c r="I122" s="280">
        <v>-98492</v>
      </c>
      <c r="J122" s="280">
        <v>-98492</v>
      </c>
      <c r="K122" s="280">
        <v>-98492</v>
      </c>
      <c r="L122" s="280">
        <v>-98492</v>
      </c>
      <c r="M122" s="281">
        <v>-96521</v>
      </c>
      <c r="N122" s="65"/>
      <c r="O122" s="154">
        <v>-62189</v>
      </c>
      <c r="P122" s="154">
        <v>-62189</v>
      </c>
      <c r="Q122" s="154">
        <v>-62189</v>
      </c>
      <c r="R122" s="155">
        <v>-39803</v>
      </c>
      <c r="T122" s="197">
        <v>-407699</v>
      </c>
      <c r="U122" s="197">
        <v>-407699</v>
      </c>
      <c r="V122" s="197">
        <v>-293544</v>
      </c>
      <c r="X122" s="281">
        <f>VLOOKUP(A122,'Change in Proportion Calc'!$A$5:$H$316,8,FALSE)+I122+O122+T122</f>
        <v>-585469</v>
      </c>
      <c r="Z122" s="280">
        <f t="shared" si="3"/>
        <v>0</v>
      </c>
      <c r="AA122" s="280">
        <f t="shared" si="4"/>
        <v>1342523</v>
      </c>
      <c r="AC122" s="280">
        <f>VLOOKUP(A122,'OPEB Amounts_Report'!$A$10:$F$321,6,FALSE)</f>
        <v>0</v>
      </c>
      <c r="AD122" s="281">
        <f t="shared" si="5"/>
        <v>0</v>
      </c>
    </row>
    <row r="123" spans="1:30">
      <c r="A123" s="62">
        <v>6017</v>
      </c>
      <c r="B123" s="66" t="s">
        <v>115</v>
      </c>
      <c r="C123" s="90">
        <f>VLOOKUP(A123,'Change in Proportion Calc'!$A$5:$P$316,12,FALSE)</f>
        <v>766241</v>
      </c>
      <c r="D123" s="90">
        <f>VLOOKUP(A123,'Change in Proportion Calc'!$A$5:$P$316,13,FALSE)</f>
        <v>766241</v>
      </c>
      <c r="E123" s="90">
        <f>VLOOKUP(A123,'Change in Proportion Calc'!$A$5:$P$316,13,FALSE)</f>
        <v>766241</v>
      </c>
      <c r="F123" s="90">
        <f>VLOOKUP(A123,'Change in Proportion Calc'!$A$5:$P$316,13,FALSE)</f>
        <v>766241</v>
      </c>
      <c r="G123" s="90">
        <f>VLOOKUP(A123,'Change in Proportion Calc'!$A$5:$P$316,16,FALSE)</f>
        <v>750918</v>
      </c>
      <c r="H123" s="255"/>
      <c r="I123" s="280">
        <v>379713</v>
      </c>
      <c r="J123" s="280">
        <v>379713</v>
      </c>
      <c r="K123" s="280">
        <v>379713</v>
      </c>
      <c r="L123" s="280">
        <v>379713</v>
      </c>
      <c r="M123" s="281">
        <v>372119</v>
      </c>
      <c r="N123" s="65"/>
      <c r="O123" s="154">
        <v>319291</v>
      </c>
      <c r="P123" s="154">
        <v>319291</v>
      </c>
      <c r="Q123" s="154">
        <v>319291</v>
      </c>
      <c r="R123" s="155">
        <v>204344</v>
      </c>
      <c r="T123" s="197">
        <v>-887563</v>
      </c>
      <c r="U123" s="197">
        <v>-887563</v>
      </c>
      <c r="V123" s="197">
        <v>-639044</v>
      </c>
      <c r="X123" s="281">
        <f>VLOOKUP(A123,'Change in Proportion Calc'!$A$5:$H$316,8,FALSE)+I123+O123+T123</f>
        <v>577682</v>
      </c>
      <c r="Z123" s="280">
        <f t="shared" si="3"/>
        <v>6170066</v>
      </c>
      <c r="AA123" s="280">
        <f t="shared" si="4"/>
        <v>1526607</v>
      </c>
      <c r="AC123" s="280">
        <f>VLOOKUP(A123,'OPEB Amounts_Report'!$A$10:$F$321,6,FALSE)</f>
        <v>6170066</v>
      </c>
      <c r="AD123" s="281">
        <f t="shared" si="5"/>
        <v>0</v>
      </c>
    </row>
    <row r="124" spans="1:30">
      <c r="A124" s="64">
        <v>26080</v>
      </c>
      <c r="B124" s="65" t="s">
        <v>116</v>
      </c>
      <c r="C124" s="90">
        <f>VLOOKUP(A124,'Change in Proportion Calc'!$A$5:$P$316,12,FALSE)</f>
        <v>19113</v>
      </c>
      <c r="D124" s="90">
        <f>VLOOKUP(A124,'Change in Proportion Calc'!$A$5:$P$316,13,FALSE)</f>
        <v>19113</v>
      </c>
      <c r="E124" s="90">
        <f>VLOOKUP(A124,'Change in Proportion Calc'!$A$5:$P$316,13,FALSE)</f>
        <v>19113</v>
      </c>
      <c r="F124" s="90">
        <f>VLOOKUP(A124,'Change in Proportion Calc'!$A$5:$P$316,13,FALSE)</f>
        <v>19113</v>
      </c>
      <c r="G124" s="90">
        <f>VLOOKUP(A124,'Change in Proportion Calc'!$A$5:$P$316,16,FALSE)</f>
        <v>18733</v>
      </c>
      <c r="H124" s="255"/>
      <c r="I124" s="280">
        <v>172</v>
      </c>
      <c r="J124" s="280">
        <v>172</v>
      </c>
      <c r="K124" s="280">
        <v>172</v>
      </c>
      <c r="L124" s="280">
        <v>172</v>
      </c>
      <c r="M124" s="281">
        <v>167</v>
      </c>
      <c r="N124" s="65"/>
      <c r="O124" s="154">
        <v>3008</v>
      </c>
      <c r="P124" s="154">
        <v>3008</v>
      </c>
      <c r="Q124" s="154">
        <v>3008</v>
      </c>
      <c r="R124" s="155">
        <v>1923</v>
      </c>
      <c r="T124" s="197">
        <v>6030</v>
      </c>
      <c r="U124" s="197">
        <v>6030</v>
      </c>
      <c r="V124" s="197">
        <v>4341</v>
      </c>
      <c r="X124" s="281">
        <f>VLOOKUP(A124,'Change in Proportion Calc'!$A$5:$H$316,8,FALSE)+I124+O124+T124</f>
        <v>28324</v>
      </c>
      <c r="Z124" s="280">
        <f t="shared" si="3"/>
        <v>114178</v>
      </c>
      <c r="AA124" s="280">
        <f t="shared" si="4"/>
        <v>0</v>
      </c>
      <c r="AC124" s="280">
        <f>VLOOKUP(A124,'OPEB Amounts_Report'!$A$10:$F$321,6,FALSE)</f>
        <v>114178</v>
      </c>
      <c r="AD124" s="281">
        <f t="shared" si="5"/>
        <v>0</v>
      </c>
    </row>
    <row r="125" spans="1:30">
      <c r="A125" s="62">
        <v>2327</v>
      </c>
      <c r="B125" s="66" t="s">
        <v>117</v>
      </c>
      <c r="C125" s="90">
        <f>VLOOKUP(A125,'Change in Proportion Calc'!$A$5:$P$316,12,FALSE)</f>
        <v>-34745</v>
      </c>
      <c r="D125" s="90">
        <f>VLOOKUP(A125,'Change in Proportion Calc'!$A$5:$P$316,13,FALSE)</f>
        <v>-34745</v>
      </c>
      <c r="E125" s="90">
        <f>VLOOKUP(A125,'Change in Proportion Calc'!$A$5:$P$316,13,FALSE)</f>
        <v>-34745</v>
      </c>
      <c r="F125" s="90">
        <f>VLOOKUP(A125,'Change in Proportion Calc'!$A$5:$P$316,13,FALSE)</f>
        <v>-34745</v>
      </c>
      <c r="G125" s="90">
        <f>VLOOKUP(A125,'Change in Proportion Calc'!$A$5:$P$316,16,FALSE)</f>
        <v>-34048</v>
      </c>
      <c r="H125" s="255"/>
      <c r="I125" s="280">
        <v>20265</v>
      </c>
      <c r="J125" s="280">
        <v>20265</v>
      </c>
      <c r="K125" s="280">
        <v>20265</v>
      </c>
      <c r="L125" s="280">
        <v>20265</v>
      </c>
      <c r="M125" s="281">
        <v>19860</v>
      </c>
      <c r="N125" s="65"/>
      <c r="O125" s="154">
        <v>2328</v>
      </c>
      <c r="P125" s="154">
        <v>2328</v>
      </c>
      <c r="Q125" s="154">
        <v>2328</v>
      </c>
      <c r="R125" s="155">
        <v>1492</v>
      </c>
      <c r="T125" s="197">
        <v>12740</v>
      </c>
      <c r="U125" s="197">
        <v>12740</v>
      </c>
      <c r="V125" s="197">
        <v>9175</v>
      </c>
      <c r="X125" s="281">
        <f>VLOOKUP(A125,'Change in Proportion Calc'!$A$5:$H$316,8,FALSE)+I125+O125+T125</f>
        <v>589</v>
      </c>
      <c r="Z125" s="280">
        <f t="shared" si="3"/>
        <v>108718</v>
      </c>
      <c r="AA125" s="280">
        <f t="shared" si="4"/>
        <v>173028</v>
      </c>
      <c r="AC125" s="280">
        <f>VLOOKUP(A125,'OPEB Amounts_Report'!$A$10:$F$321,6,FALSE)</f>
        <v>108718</v>
      </c>
      <c r="AD125" s="281">
        <f t="shared" si="5"/>
        <v>0</v>
      </c>
    </row>
    <row r="126" spans="1:30">
      <c r="A126" s="64">
        <v>10119</v>
      </c>
      <c r="B126" s="65" t="s">
        <v>118</v>
      </c>
      <c r="C126" s="90">
        <f>VLOOKUP(A126,'Change in Proportion Calc'!$A$5:$P$316,12,FALSE)</f>
        <v>4616</v>
      </c>
      <c r="D126" s="90">
        <f>VLOOKUP(A126,'Change in Proportion Calc'!$A$5:$P$316,13,FALSE)</f>
        <v>4616</v>
      </c>
      <c r="E126" s="90">
        <f>VLOOKUP(A126,'Change in Proportion Calc'!$A$5:$P$316,13,FALSE)</f>
        <v>4616</v>
      </c>
      <c r="F126" s="90">
        <f>VLOOKUP(A126,'Change in Proportion Calc'!$A$5:$P$316,13,FALSE)</f>
        <v>4616</v>
      </c>
      <c r="G126" s="90">
        <f>VLOOKUP(A126,'Change in Proportion Calc'!$A$5:$P$316,16,FALSE)</f>
        <v>4526</v>
      </c>
      <c r="H126" s="255"/>
      <c r="I126" s="280">
        <v>-16315</v>
      </c>
      <c r="J126" s="280">
        <v>-16315</v>
      </c>
      <c r="K126" s="280">
        <v>-16315</v>
      </c>
      <c r="L126" s="280">
        <v>-16315</v>
      </c>
      <c r="M126" s="281">
        <v>-15989</v>
      </c>
      <c r="N126" s="65"/>
      <c r="O126" s="154">
        <v>0</v>
      </c>
      <c r="P126" s="154">
        <v>0</v>
      </c>
      <c r="Q126" s="154">
        <v>0</v>
      </c>
      <c r="R126" s="155">
        <v>0</v>
      </c>
      <c r="T126" s="197">
        <v>-35888</v>
      </c>
      <c r="U126" s="197">
        <v>-35888</v>
      </c>
      <c r="V126" s="197">
        <v>-25837</v>
      </c>
      <c r="X126" s="281">
        <f>VLOOKUP(A126,'Change in Proportion Calc'!$A$5:$H$316,8,FALSE)+I126+O126+T126</f>
        <v>-47587</v>
      </c>
      <c r="Z126" s="280">
        <f t="shared" si="3"/>
        <v>22990</v>
      </c>
      <c r="AA126" s="280">
        <f t="shared" si="4"/>
        <v>126659</v>
      </c>
      <c r="AC126" s="280">
        <f>VLOOKUP(A126,'OPEB Amounts_Report'!$A$10:$F$321,6,FALSE)</f>
        <v>22990</v>
      </c>
      <c r="AD126" s="281">
        <f t="shared" si="5"/>
        <v>0</v>
      </c>
    </row>
    <row r="127" spans="1:30">
      <c r="A127" s="62">
        <v>573</v>
      </c>
      <c r="B127" s="66" t="s">
        <v>412</v>
      </c>
      <c r="C127" s="90">
        <f>VLOOKUP(A127,'Change in Proportion Calc'!$A$5:$P$316,12,FALSE)</f>
        <v>77912</v>
      </c>
      <c r="D127" s="90">
        <f>VLOOKUP(A127,'Change in Proportion Calc'!$A$5:$P$316,13,FALSE)</f>
        <v>77912</v>
      </c>
      <c r="E127" s="90">
        <f>VLOOKUP(A127,'Change in Proportion Calc'!$A$5:$P$316,13,FALSE)</f>
        <v>77912</v>
      </c>
      <c r="F127" s="90">
        <f>VLOOKUP(A127,'Change in Proportion Calc'!$A$5:$P$316,13,FALSE)</f>
        <v>77912</v>
      </c>
      <c r="G127" s="90">
        <f>VLOOKUP(A127,'Change in Proportion Calc'!$A$5:$P$316,16,FALSE)</f>
        <v>76353</v>
      </c>
      <c r="H127" s="255"/>
      <c r="I127" s="280">
        <v>134814</v>
      </c>
      <c r="J127" s="280">
        <v>134814</v>
      </c>
      <c r="K127" s="280">
        <v>134814</v>
      </c>
      <c r="L127" s="280">
        <v>134814</v>
      </c>
      <c r="M127" s="281">
        <v>132120</v>
      </c>
      <c r="N127" s="65"/>
      <c r="O127" s="154">
        <v>130491</v>
      </c>
      <c r="P127" s="154">
        <v>130491</v>
      </c>
      <c r="Q127" s="154">
        <v>130491</v>
      </c>
      <c r="R127" s="155">
        <v>83514</v>
      </c>
      <c r="T127" s="197">
        <v>0</v>
      </c>
      <c r="U127" s="197">
        <v>0</v>
      </c>
      <c r="V127" s="197">
        <v>0</v>
      </c>
      <c r="X127" s="281">
        <f>VLOOKUP(A127,'Change in Proportion Calc'!$A$5:$H$316,8,FALSE)+I127+O127+T127</f>
        <v>343217</v>
      </c>
      <c r="Z127" s="280">
        <f t="shared" si="3"/>
        <v>1269059</v>
      </c>
      <c r="AA127" s="280">
        <f t="shared" si="4"/>
        <v>0</v>
      </c>
      <c r="AC127" s="280">
        <f>VLOOKUP(A127,'OPEB Amounts_Report'!$A$10:$F$321,6,FALSE)</f>
        <v>1269059</v>
      </c>
      <c r="AD127" s="281">
        <f t="shared" si="5"/>
        <v>0</v>
      </c>
    </row>
    <row r="128" spans="1:30">
      <c r="A128" s="64">
        <v>2368</v>
      </c>
      <c r="B128" s="65" t="s">
        <v>119</v>
      </c>
      <c r="C128" s="90">
        <f>VLOOKUP(A128,'Change in Proportion Calc'!$A$5:$P$316,12,FALSE)</f>
        <v>100427</v>
      </c>
      <c r="D128" s="90">
        <f>VLOOKUP(A128,'Change in Proportion Calc'!$A$5:$P$316,13,FALSE)</f>
        <v>100427</v>
      </c>
      <c r="E128" s="90">
        <f>VLOOKUP(A128,'Change in Proportion Calc'!$A$5:$P$316,13,FALSE)</f>
        <v>100427</v>
      </c>
      <c r="F128" s="90">
        <f>VLOOKUP(A128,'Change in Proportion Calc'!$A$5:$P$316,13,FALSE)</f>
        <v>100427</v>
      </c>
      <c r="G128" s="90">
        <f>VLOOKUP(A128,'Change in Proportion Calc'!$A$5:$P$316,16,FALSE)</f>
        <v>98418</v>
      </c>
      <c r="H128" s="255"/>
      <c r="I128" s="280">
        <v>7470</v>
      </c>
      <c r="J128" s="280">
        <v>7470</v>
      </c>
      <c r="K128" s="280">
        <v>7470</v>
      </c>
      <c r="L128" s="280">
        <v>7470</v>
      </c>
      <c r="M128" s="281">
        <v>7323</v>
      </c>
      <c r="N128" s="65"/>
      <c r="O128" s="154">
        <v>-48801</v>
      </c>
      <c r="P128" s="154">
        <v>-48801</v>
      </c>
      <c r="Q128" s="154">
        <v>-48801</v>
      </c>
      <c r="R128" s="155">
        <v>-31231</v>
      </c>
      <c r="T128" s="197">
        <v>55631</v>
      </c>
      <c r="U128" s="197">
        <v>55631</v>
      </c>
      <c r="V128" s="197">
        <v>40053</v>
      </c>
      <c r="X128" s="281">
        <f>VLOOKUP(A128,'Change in Proportion Calc'!$A$5:$H$316,8,FALSE)+I128+O128+T128</f>
        <v>114727</v>
      </c>
      <c r="Z128" s="280">
        <f t="shared" si="3"/>
        <v>625543</v>
      </c>
      <c r="AA128" s="280">
        <f t="shared" si="4"/>
        <v>128833</v>
      </c>
      <c r="AC128" s="280">
        <f>VLOOKUP(A128,'OPEB Amounts_Report'!$A$10:$F$321,6,FALSE)</f>
        <v>625543</v>
      </c>
      <c r="AD128" s="281">
        <f t="shared" si="5"/>
        <v>0</v>
      </c>
    </row>
    <row r="129" spans="1:30">
      <c r="A129" s="62">
        <v>7420</v>
      </c>
      <c r="B129" s="66" t="s">
        <v>120</v>
      </c>
      <c r="C129" s="90">
        <f>VLOOKUP(A129,'Change in Proportion Calc'!$A$5:$P$316,12,FALSE)</f>
        <v>14578</v>
      </c>
      <c r="D129" s="90">
        <f>VLOOKUP(A129,'Change in Proportion Calc'!$A$5:$P$316,13,FALSE)</f>
        <v>14578</v>
      </c>
      <c r="E129" s="90">
        <f>VLOOKUP(A129,'Change in Proportion Calc'!$A$5:$P$316,13,FALSE)</f>
        <v>14578</v>
      </c>
      <c r="F129" s="90">
        <f>VLOOKUP(A129,'Change in Proportion Calc'!$A$5:$P$316,13,FALSE)</f>
        <v>14578</v>
      </c>
      <c r="G129" s="90">
        <f>VLOOKUP(A129,'Change in Proportion Calc'!$A$5:$P$316,16,FALSE)</f>
        <v>14287</v>
      </c>
      <c r="H129" s="255"/>
      <c r="I129" s="280">
        <v>-3177</v>
      </c>
      <c r="J129" s="280">
        <v>-3177</v>
      </c>
      <c r="K129" s="280">
        <v>-3177</v>
      </c>
      <c r="L129" s="280">
        <v>-3177</v>
      </c>
      <c r="M129" s="281">
        <v>-3114</v>
      </c>
      <c r="N129" s="65"/>
      <c r="O129" s="154">
        <v>10963</v>
      </c>
      <c r="P129" s="154">
        <v>10963</v>
      </c>
      <c r="Q129" s="154">
        <v>10963</v>
      </c>
      <c r="R129" s="155">
        <v>7017</v>
      </c>
      <c r="T129" s="197">
        <v>42112</v>
      </c>
      <c r="U129" s="197">
        <v>42112</v>
      </c>
      <c r="V129" s="197">
        <v>30321</v>
      </c>
      <c r="X129" s="281">
        <f>VLOOKUP(A129,'Change in Proportion Calc'!$A$5:$H$316,8,FALSE)+I129+O129+T129</f>
        <v>64476</v>
      </c>
      <c r="Z129" s="280">
        <f t="shared" si="3"/>
        <v>173975</v>
      </c>
      <c r="AA129" s="280">
        <f t="shared" si="4"/>
        <v>12645</v>
      </c>
      <c r="AC129" s="280">
        <f>VLOOKUP(A129,'OPEB Amounts_Report'!$A$10:$F$321,6,FALSE)</f>
        <v>173975</v>
      </c>
      <c r="AD129" s="281">
        <f t="shared" si="5"/>
        <v>0</v>
      </c>
    </row>
    <row r="130" spans="1:30">
      <c r="A130" s="64">
        <v>6018</v>
      </c>
      <c r="B130" s="65" t="s">
        <v>121</v>
      </c>
      <c r="C130" s="90">
        <f>VLOOKUP(A130,'Change in Proportion Calc'!$A$5:$P$316,12,FALSE)</f>
        <v>26079</v>
      </c>
      <c r="D130" s="90">
        <f>VLOOKUP(A130,'Change in Proportion Calc'!$A$5:$P$316,13,FALSE)</f>
        <v>26079</v>
      </c>
      <c r="E130" s="90">
        <f>VLOOKUP(A130,'Change in Proportion Calc'!$A$5:$P$316,13,FALSE)</f>
        <v>26079</v>
      </c>
      <c r="F130" s="90">
        <f>VLOOKUP(A130,'Change in Proportion Calc'!$A$5:$P$316,13,FALSE)</f>
        <v>26079</v>
      </c>
      <c r="G130" s="90">
        <f>VLOOKUP(A130,'Change in Proportion Calc'!$A$5:$P$316,16,FALSE)</f>
        <v>25555</v>
      </c>
      <c r="H130" s="255"/>
      <c r="I130" s="280">
        <v>8415</v>
      </c>
      <c r="J130" s="280">
        <v>8415</v>
      </c>
      <c r="K130" s="280">
        <v>8415</v>
      </c>
      <c r="L130" s="280">
        <v>8415</v>
      </c>
      <c r="M130" s="281">
        <v>8248</v>
      </c>
      <c r="N130" s="65"/>
      <c r="O130" s="154">
        <v>-2911</v>
      </c>
      <c r="P130" s="154">
        <v>-2911</v>
      </c>
      <c r="Q130" s="154">
        <v>-2911</v>
      </c>
      <c r="R130" s="155">
        <v>-1861</v>
      </c>
      <c r="T130" s="197">
        <v>24314</v>
      </c>
      <c r="U130" s="197">
        <v>24314</v>
      </c>
      <c r="V130" s="197">
        <v>17507</v>
      </c>
      <c r="X130" s="281">
        <f>VLOOKUP(A130,'Change in Proportion Calc'!$A$5:$H$316,8,FALSE)+I130+O130+T130</f>
        <v>55897</v>
      </c>
      <c r="Z130" s="280">
        <f t="shared" si="3"/>
        <v>205185</v>
      </c>
      <c r="AA130" s="280">
        <f t="shared" si="4"/>
        <v>7683</v>
      </c>
      <c r="AC130" s="280">
        <f>VLOOKUP(A130,'OPEB Amounts_Report'!$A$10:$F$321,6,FALSE)</f>
        <v>205185</v>
      </c>
      <c r="AD130" s="281">
        <f t="shared" si="5"/>
        <v>0</v>
      </c>
    </row>
    <row r="131" spans="1:30">
      <c r="A131" s="62">
        <v>3321</v>
      </c>
      <c r="B131" s="66" t="s">
        <v>122</v>
      </c>
      <c r="C131" s="90">
        <f>VLOOKUP(A131,'Change in Proportion Calc'!$A$5:$P$316,12,FALSE)</f>
        <v>9719</v>
      </c>
      <c r="D131" s="90">
        <f>VLOOKUP(A131,'Change in Proportion Calc'!$A$5:$P$316,13,FALSE)</f>
        <v>9719</v>
      </c>
      <c r="E131" s="90">
        <f>VLOOKUP(A131,'Change in Proportion Calc'!$A$5:$P$316,13,FALSE)</f>
        <v>9719</v>
      </c>
      <c r="F131" s="90">
        <f>VLOOKUP(A131,'Change in Proportion Calc'!$A$5:$P$316,13,FALSE)</f>
        <v>9719</v>
      </c>
      <c r="G131" s="90">
        <f>VLOOKUP(A131,'Change in Proportion Calc'!$A$5:$P$316,16,FALSE)</f>
        <v>9523</v>
      </c>
      <c r="H131" s="255"/>
      <c r="I131" s="280">
        <v>12451</v>
      </c>
      <c r="J131" s="280">
        <v>12451</v>
      </c>
      <c r="K131" s="280">
        <v>12451</v>
      </c>
      <c r="L131" s="280">
        <v>12451</v>
      </c>
      <c r="M131" s="281">
        <v>12202</v>
      </c>
      <c r="N131" s="65"/>
      <c r="O131" s="154">
        <v>18725</v>
      </c>
      <c r="P131" s="154">
        <v>18725</v>
      </c>
      <c r="Q131" s="154">
        <v>18725</v>
      </c>
      <c r="R131" s="155">
        <v>11982</v>
      </c>
      <c r="T131" s="197">
        <v>-30636</v>
      </c>
      <c r="U131" s="197">
        <v>-30636</v>
      </c>
      <c r="V131" s="197">
        <v>-22057</v>
      </c>
      <c r="X131" s="281">
        <f>VLOOKUP(A131,'Change in Proportion Calc'!$A$5:$H$316,8,FALSE)+I131+O131+T131</f>
        <v>10259</v>
      </c>
      <c r="Z131" s="280">
        <f t="shared" si="3"/>
        <v>147386</v>
      </c>
      <c r="AA131" s="280">
        <f t="shared" si="4"/>
        <v>52693</v>
      </c>
      <c r="AC131" s="280">
        <f>VLOOKUP(A131,'OPEB Amounts_Report'!$A$10:$F$321,6,FALSE)</f>
        <v>147386</v>
      </c>
      <c r="AD131" s="281">
        <f t="shared" si="5"/>
        <v>0</v>
      </c>
    </row>
    <row r="132" spans="1:30">
      <c r="A132" s="64">
        <v>29122</v>
      </c>
      <c r="B132" s="65" t="s">
        <v>123</v>
      </c>
      <c r="C132" s="90">
        <f>VLOOKUP(A132,'Change in Proportion Calc'!$A$5:$P$316,12,FALSE)</f>
        <v>-45597</v>
      </c>
      <c r="D132" s="90">
        <f>VLOOKUP(A132,'Change in Proportion Calc'!$A$5:$P$316,13,FALSE)</f>
        <v>-45597</v>
      </c>
      <c r="E132" s="90">
        <f>VLOOKUP(A132,'Change in Proportion Calc'!$A$5:$P$316,13,FALSE)</f>
        <v>-45597</v>
      </c>
      <c r="F132" s="90">
        <f>VLOOKUP(A132,'Change in Proportion Calc'!$A$5:$P$316,13,FALSE)</f>
        <v>-45597</v>
      </c>
      <c r="G132" s="90">
        <f>VLOOKUP(A132,'Change in Proportion Calc'!$A$5:$P$316,16,FALSE)</f>
        <v>-44685</v>
      </c>
      <c r="H132" s="255"/>
      <c r="I132" s="280">
        <v>49117</v>
      </c>
      <c r="J132" s="280">
        <v>49117</v>
      </c>
      <c r="K132" s="280">
        <v>49117</v>
      </c>
      <c r="L132" s="280">
        <v>49117</v>
      </c>
      <c r="M132" s="281">
        <v>48135</v>
      </c>
      <c r="N132" s="65"/>
      <c r="O132" s="154">
        <v>-37741</v>
      </c>
      <c r="P132" s="154">
        <v>-37741</v>
      </c>
      <c r="Q132" s="154">
        <v>-37741</v>
      </c>
      <c r="R132" s="155">
        <v>-24152</v>
      </c>
      <c r="T132" s="197">
        <v>-54756</v>
      </c>
      <c r="U132" s="197">
        <v>-54756</v>
      </c>
      <c r="V132" s="197">
        <v>-39422</v>
      </c>
      <c r="X132" s="281">
        <f>VLOOKUP(A132,'Change in Proportion Calc'!$A$5:$H$316,8,FALSE)+I132+O132+T132</f>
        <v>-88977</v>
      </c>
      <c r="Z132" s="280">
        <f t="shared" si="3"/>
        <v>195486</v>
      </c>
      <c r="AA132" s="280">
        <f t="shared" si="4"/>
        <v>420885</v>
      </c>
      <c r="AC132" s="280">
        <f>VLOOKUP(A132,'OPEB Amounts_Report'!$A$10:$F$321,6,FALSE)</f>
        <v>195486</v>
      </c>
      <c r="AD132" s="281">
        <f t="shared" si="5"/>
        <v>0</v>
      </c>
    </row>
    <row r="133" spans="1:30">
      <c r="A133" s="62">
        <v>29088</v>
      </c>
      <c r="B133" s="66" t="s">
        <v>124</v>
      </c>
      <c r="C133" s="90">
        <f>VLOOKUP(A133,'Change in Proportion Calc'!$A$5:$P$316,12,FALSE)</f>
        <v>-1620</v>
      </c>
      <c r="D133" s="90">
        <f>VLOOKUP(A133,'Change in Proportion Calc'!$A$5:$P$316,13,FALSE)</f>
        <v>-1620</v>
      </c>
      <c r="E133" s="90">
        <f>VLOOKUP(A133,'Change in Proportion Calc'!$A$5:$P$316,13,FALSE)</f>
        <v>-1620</v>
      </c>
      <c r="F133" s="90">
        <f>VLOOKUP(A133,'Change in Proportion Calc'!$A$5:$P$316,13,FALSE)</f>
        <v>-1620</v>
      </c>
      <c r="G133" s="90">
        <f>VLOOKUP(A133,'Change in Proportion Calc'!$A$5:$P$316,16,FALSE)</f>
        <v>-1586</v>
      </c>
      <c r="H133" s="255"/>
      <c r="I133" s="280">
        <v>-50405</v>
      </c>
      <c r="J133" s="280">
        <v>-50405</v>
      </c>
      <c r="K133" s="280">
        <v>-50405</v>
      </c>
      <c r="L133" s="280">
        <v>-50405</v>
      </c>
      <c r="M133" s="281">
        <v>-49398</v>
      </c>
      <c r="N133" s="65"/>
      <c r="O133" s="154">
        <v>679</v>
      </c>
      <c r="P133" s="154">
        <v>679</v>
      </c>
      <c r="Q133" s="154">
        <v>679</v>
      </c>
      <c r="R133" s="155">
        <v>435</v>
      </c>
      <c r="T133" s="197">
        <v>7975</v>
      </c>
      <c r="U133" s="197">
        <v>7975</v>
      </c>
      <c r="V133" s="197">
        <v>5742</v>
      </c>
      <c r="X133" s="281">
        <f>VLOOKUP(A133,'Change in Proportion Calc'!$A$5:$H$316,8,FALSE)+I133+O133+T133</f>
        <v>-43371</v>
      </c>
      <c r="Z133" s="280">
        <f t="shared" si="3"/>
        <v>15510</v>
      </c>
      <c r="AA133" s="280">
        <f t="shared" si="4"/>
        <v>208679</v>
      </c>
      <c r="AC133" s="280">
        <f>VLOOKUP(A133,'OPEB Amounts_Report'!$A$10:$F$321,6,FALSE)</f>
        <v>15510</v>
      </c>
      <c r="AD133" s="281">
        <f t="shared" si="5"/>
        <v>0</v>
      </c>
    </row>
    <row r="134" spans="1:30">
      <c r="A134" s="64">
        <v>7337</v>
      </c>
      <c r="B134" s="65" t="s">
        <v>125</v>
      </c>
      <c r="C134" s="90">
        <f>VLOOKUP(A134,'Change in Proportion Calc'!$A$5:$P$316,12,FALSE)</f>
        <v>-18951</v>
      </c>
      <c r="D134" s="90">
        <f>VLOOKUP(A134,'Change in Proportion Calc'!$A$5:$P$316,13,FALSE)</f>
        <v>-18951</v>
      </c>
      <c r="E134" s="90">
        <f>VLOOKUP(A134,'Change in Proportion Calc'!$A$5:$P$316,13,FALSE)</f>
        <v>-18951</v>
      </c>
      <c r="F134" s="90">
        <f>VLOOKUP(A134,'Change in Proportion Calc'!$A$5:$P$316,13,FALSE)</f>
        <v>-18951</v>
      </c>
      <c r="G134" s="90">
        <f>VLOOKUP(A134,'Change in Proportion Calc'!$A$5:$P$316,16,FALSE)</f>
        <v>-18574</v>
      </c>
      <c r="H134" s="255"/>
      <c r="I134" s="280">
        <v>-21897</v>
      </c>
      <c r="J134" s="280">
        <v>-21897</v>
      </c>
      <c r="K134" s="280">
        <v>-21897</v>
      </c>
      <c r="L134" s="280">
        <v>-21897</v>
      </c>
      <c r="M134" s="281">
        <v>-21457</v>
      </c>
      <c r="N134" s="65"/>
      <c r="O134" s="154">
        <v>-23284</v>
      </c>
      <c r="P134" s="154">
        <v>-23284</v>
      </c>
      <c r="Q134" s="154">
        <v>-23284</v>
      </c>
      <c r="R134" s="155">
        <v>-14904</v>
      </c>
      <c r="T134" s="197">
        <v>-6808</v>
      </c>
      <c r="U134" s="197">
        <v>-6808</v>
      </c>
      <c r="V134" s="197">
        <v>-4901</v>
      </c>
      <c r="X134" s="281">
        <f>VLOOKUP(A134,'Change in Proportion Calc'!$A$5:$H$316,8,FALSE)+I134+O134+T134</f>
        <v>-70941</v>
      </c>
      <c r="Z134" s="280">
        <f t="shared" si="3"/>
        <v>0</v>
      </c>
      <c r="AA134" s="280">
        <f t="shared" si="4"/>
        <v>254707</v>
      </c>
      <c r="AC134" s="280">
        <f>VLOOKUP(A134,'OPEB Amounts_Report'!$A$10:$F$321,6,FALSE)</f>
        <v>0</v>
      </c>
      <c r="AD134" s="281">
        <f t="shared" si="5"/>
        <v>0</v>
      </c>
    </row>
    <row r="135" spans="1:30">
      <c r="A135" s="62">
        <v>2329</v>
      </c>
      <c r="B135" s="66" t="s">
        <v>126</v>
      </c>
      <c r="C135" s="90">
        <f>VLOOKUP(A135,'Change in Proportion Calc'!$A$5:$P$316,12,FALSE)</f>
        <v>11987</v>
      </c>
      <c r="D135" s="90">
        <f>VLOOKUP(A135,'Change in Proportion Calc'!$A$5:$P$316,13,FALSE)</f>
        <v>11987</v>
      </c>
      <c r="E135" s="90">
        <f>VLOOKUP(A135,'Change in Proportion Calc'!$A$5:$P$316,13,FALSE)</f>
        <v>11987</v>
      </c>
      <c r="F135" s="90">
        <f>VLOOKUP(A135,'Change in Proportion Calc'!$A$5:$P$316,13,FALSE)</f>
        <v>11987</v>
      </c>
      <c r="G135" s="90">
        <f>VLOOKUP(A135,'Change in Proportion Calc'!$A$5:$P$316,16,FALSE)</f>
        <v>11745</v>
      </c>
      <c r="H135" s="255"/>
      <c r="I135" s="280">
        <v>-130521</v>
      </c>
      <c r="J135" s="280">
        <v>-130521</v>
      </c>
      <c r="K135" s="280">
        <v>-130521</v>
      </c>
      <c r="L135" s="280">
        <v>-130521</v>
      </c>
      <c r="M135" s="281">
        <v>-127911</v>
      </c>
      <c r="N135" s="65"/>
      <c r="O135" s="154">
        <v>-1164</v>
      </c>
      <c r="P135" s="154">
        <v>-1164</v>
      </c>
      <c r="Q135" s="154">
        <v>-1164</v>
      </c>
      <c r="R135" s="155">
        <v>-746</v>
      </c>
      <c r="T135" s="197">
        <v>20910</v>
      </c>
      <c r="U135" s="197">
        <v>20910</v>
      </c>
      <c r="V135" s="197">
        <v>15056</v>
      </c>
      <c r="X135" s="281">
        <f>VLOOKUP(A135,'Change in Proportion Calc'!$A$5:$H$316,8,FALSE)+I135+O135+T135</f>
        <v>-98789</v>
      </c>
      <c r="Z135" s="280">
        <f t="shared" si="3"/>
        <v>95659</v>
      </c>
      <c r="AA135" s="280">
        <f t="shared" si="4"/>
        <v>522548</v>
      </c>
      <c r="AC135" s="280">
        <f>VLOOKUP(A135,'OPEB Amounts_Report'!$A$10:$F$321,6,FALSE)</f>
        <v>95659</v>
      </c>
      <c r="AD135" s="281">
        <f t="shared" si="5"/>
        <v>0</v>
      </c>
    </row>
    <row r="136" spans="1:30">
      <c r="A136" s="64">
        <v>2343</v>
      </c>
      <c r="B136" s="65" t="s">
        <v>127</v>
      </c>
      <c r="C136" s="90">
        <f>VLOOKUP(A136,'Change in Proportion Calc'!$A$5:$P$316,12,FALSE)</f>
        <v>23487</v>
      </c>
      <c r="D136" s="90">
        <f>VLOOKUP(A136,'Change in Proportion Calc'!$A$5:$P$316,13,FALSE)</f>
        <v>23487</v>
      </c>
      <c r="E136" s="90">
        <f>VLOOKUP(A136,'Change in Proportion Calc'!$A$5:$P$316,13,FALSE)</f>
        <v>23487</v>
      </c>
      <c r="F136" s="90">
        <f>VLOOKUP(A136,'Change in Proportion Calc'!$A$5:$P$316,13,FALSE)</f>
        <v>23487</v>
      </c>
      <c r="G136" s="90">
        <f>VLOOKUP(A136,'Change in Proportion Calc'!$A$5:$P$316,16,FALSE)</f>
        <v>23017</v>
      </c>
      <c r="H136" s="255"/>
      <c r="I136" s="280">
        <v>-22240</v>
      </c>
      <c r="J136" s="280">
        <v>-22240</v>
      </c>
      <c r="K136" s="280">
        <v>-22240</v>
      </c>
      <c r="L136" s="280">
        <v>-22240</v>
      </c>
      <c r="M136" s="281">
        <v>-21796</v>
      </c>
      <c r="N136" s="65"/>
      <c r="O136" s="154">
        <v>40069</v>
      </c>
      <c r="P136" s="154">
        <v>40069</v>
      </c>
      <c r="Q136" s="154">
        <v>40069</v>
      </c>
      <c r="R136" s="155">
        <v>25644</v>
      </c>
      <c r="T136" s="197">
        <v>-65940</v>
      </c>
      <c r="U136" s="197">
        <v>-65940</v>
      </c>
      <c r="V136" s="197">
        <v>-47476</v>
      </c>
      <c r="X136" s="281">
        <f>VLOOKUP(A136,'Change in Proportion Calc'!$A$5:$H$316,8,FALSE)+I136+O136+T136</f>
        <v>-24624</v>
      </c>
      <c r="Z136" s="280">
        <f t="shared" si="3"/>
        <v>222747</v>
      </c>
      <c r="AA136" s="280">
        <f t="shared" si="4"/>
        <v>201932</v>
      </c>
      <c r="AC136" s="280">
        <f>VLOOKUP(A136,'OPEB Amounts_Report'!$A$10:$F$321,6,FALSE)</f>
        <v>222747</v>
      </c>
      <c r="AD136" s="281">
        <f t="shared" si="5"/>
        <v>0</v>
      </c>
    </row>
    <row r="137" spans="1:30">
      <c r="A137" s="62">
        <v>17425</v>
      </c>
      <c r="B137" s="66" t="s">
        <v>128</v>
      </c>
      <c r="C137" s="90">
        <f>VLOOKUP(A137,'Change in Proportion Calc'!$A$5:$P$316,12,FALSE)</f>
        <v>-29804</v>
      </c>
      <c r="D137" s="90">
        <f>VLOOKUP(A137,'Change in Proportion Calc'!$A$5:$P$316,13,FALSE)</f>
        <v>-29804</v>
      </c>
      <c r="E137" s="90">
        <f>VLOOKUP(A137,'Change in Proportion Calc'!$A$5:$P$316,13,FALSE)</f>
        <v>-29804</v>
      </c>
      <c r="F137" s="90">
        <f>VLOOKUP(A137,'Change in Proportion Calc'!$A$5:$P$316,13,FALSE)</f>
        <v>-29804</v>
      </c>
      <c r="G137" s="90">
        <f>VLOOKUP(A137,'Change in Proportion Calc'!$A$5:$P$316,16,FALSE)</f>
        <v>-29209</v>
      </c>
      <c r="H137" s="255"/>
      <c r="I137" s="280">
        <v>-8673</v>
      </c>
      <c r="J137" s="280">
        <v>-8673</v>
      </c>
      <c r="K137" s="280">
        <v>-8673</v>
      </c>
      <c r="L137" s="280">
        <v>-8673</v>
      </c>
      <c r="M137" s="281">
        <v>-8498</v>
      </c>
      <c r="N137" s="65"/>
      <c r="O137" s="154">
        <v>-18919</v>
      </c>
      <c r="P137" s="154">
        <v>-18919</v>
      </c>
      <c r="Q137" s="154">
        <v>-18919</v>
      </c>
      <c r="R137" s="155">
        <v>-12107</v>
      </c>
      <c r="T137" s="197">
        <v>-6030</v>
      </c>
      <c r="U137" s="197">
        <v>-6030</v>
      </c>
      <c r="V137" s="197">
        <v>-4341</v>
      </c>
      <c r="X137" s="281">
        <f>VLOOKUP(A137,'Change in Proportion Calc'!$A$5:$H$316,8,FALSE)+I137+O137+T137</f>
        <v>-63426</v>
      </c>
      <c r="Z137" s="280">
        <f t="shared" ref="Z137:Z200" si="6">IF(SUM(C137:G137)&gt;0,SUM(C137:G137),0)+IF(SUM(J137:M137)&gt;0,SUM(J137:M137),0)+IF(SUM(P137:R137)&gt;0,SUM(P137:R137),0)+IF(SUM(U137:V137)&gt;0,SUM(U137:V137),0)</f>
        <v>0</v>
      </c>
      <c r="AA137" s="280">
        <f t="shared" ref="AA137:AA200" si="7">IF(SUM(C137:G137)&lt;0,-SUM(C137:G137),0)+IF(SUM(J137:M137)&lt;0,-SUM(J137:M137),0)+IF(SUM(P137:R137)&lt;0,-SUM(P137:R137),0)+IF(SUM(U137:V137)&lt;0,-SUM(U137:V137),0)</f>
        <v>243258</v>
      </c>
      <c r="AC137" s="280">
        <f>VLOOKUP(A137,'OPEB Amounts_Report'!$A$10:$F$321,6,FALSE)</f>
        <v>0</v>
      </c>
      <c r="AD137" s="281">
        <f t="shared" ref="AD137:AD200" si="8">+Z137-AC137</f>
        <v>0</v>
      </c>
    </row>
    <row r="138" spans="1:30">
      <c r="A138" s="64">
        <v>4010</v>
      </c>
      <c r="B138" s="65" t="s">
        <v>129</v>
      </c>
      <c r="C138" s="90">
        <f>VLOOKUP(A138,'Change in Proportion Calc'!$A$5:$P$316,12,FALSE)</f>
        <v>5183</v>
      </c>
      <c r="D138" s="90">
        <f>VLOOKUP(A138,'Change in Proportion Calc'!$A$5:$P$316,13,FALSE)</f>
        <v>5183</v>
      </c>
      <c r="E138" s="90">
        <f>VLOOKUP(A138,'Change in Proportion Calc'!$A$5:$P$316,13,FALSE)</f>
        <v>5183</v>
      </c>
      <c r="F138" s="90">
        <f>VLOOKUP(A138,'Change in Proportion Calc'!$A$5:$P$316,13,FALSE)</f>
        <v>5183</v>
      </c>
      <c r="G138" s="90">
        <f>VLOOKUP(A138,'Change in Proportion Calc'!$A$5:$P$316,16,FALSE)</f>
        <v>5081</v>
      </c>
      <c r="H138" s="255"/>
      <c r="I138" s="280">
        <v>10304</v>
      </c>
      <c r="J138" s="280">
        <v>10304</v>
      </c>
      <c r="K138" s="280">
        <v>10304</v>
      </c>
      <c r="L138" s="280">
        <v>10304</v>
      </c>
      <c r="M138" s="281">
        <v>10100</v>
      </c>
      <c r="N138" s="65"/>
      <c r="O138" s="154">
        <v>10866</v>
      </c>
      <c r="P138" s="154">
        <v>10866</v>
      </c>
      <c r="Q138" s="154">
        <v>10866</v>
      </c>
      <c r="R138" s="155">
        <v>6955</v>
      </c>
      <c r="T138" s="197">
        <v>-5738</v>
      </c>
      <c r="U138" s="197">
        <v>-5738</v>
      </c>
      <c r="V138" s="197">
        <v>-4132</v>
      </c>
      <c r="X138" s="281">
        <f>VLOOKUP(A138,'Change in Proportion Calc'!$A$5:$H$316,8,FALSE)+I138+O138+T138</f>
        <v>20615</v>
      </c>
      <c r="Z138" s="280">
        <f t="shared" si="6"/>
        <v>95512</v>
      </c>
      <c r="AA138" s="280">
        <f t="shared" si="7"/>
        <v>9870</v>
      </c>
      <c r="AC138" s="280">
        <f>VLOOKUP(A138,'OPEB Amounts_Report'!$A$10:$F$321,6,FALSE)</f>
        <v>95512</v>
      </c>
      <c r="AD138" s="281">
        <f t="shared" si="8"/>
        <v>0</v>
      </c>
    </row>
    <row r="139" spans="1:30">
      <c r="A139" s="62">
        <v>7023</v>
      </c>
      <c r="B139" s="66" t="s">
        <v>130</v>
      </c>
      <c r="C139" s="90">
        <f>VLOOKUP(A139,'Change in Proportion Calc'!$A$5:$P$316,12,FALSE)</f>
        <v>420173</v>
      </c>
      <c r="D139" s="90">
        <f>VLOOKUP(A139,'Change in Proportion Calc'!$A$5:$P$316,13,FALSE)</f>
        <v>420173</v>
      </c>
      <c r="E139" s="90">
        <f>VLOOKUP(A139,'Change in Proportion Calc'!$A$5:$P$316,13,FALSE)</f>
        <v>420173</v>
      </c>
      <c r="F139" s="90">
        <f>VLOOKUP(A139,'Change in Proportion Calc'!$A$5:$P$316,13,FALSE)</f>
        <v>420173</v>
      </c>
      <c r="G139" s="90">
        <f>VLOOKUP(A139,'Change in Proportion Calc'!$A$5:$P$316,16,FALSE)</f>
        <v>411771</v>
      </c>
      <c r="H139" s="255"/>
      <c r="I139" s="280">
        <v>169248</v>
      </c>
      <c r="J139" s="280">
        <v>169248</v>
      </c>
      <c r="K139" s="280">
        <v>169248</v>
      </c>
      <c r="L139" s="280">
        <v>169248</v>
      </c>
      <c r="M139" s="281">
        <v>165863</v>
      </c>
      <c r="N139" s="65"/>
      <c r="O139" s="154">
        <v>298141</v>
      </c>
      <c r="P139" s="154">
        <v>298141</v>
      </c>
      <c r="Q139" s="154">
        <v>298141</v>
      </c>
      <c r="R139" s="155">
        <v>190808</v>
      </c>
      <c r="T139" s="197">
        <v>278251</v>
      </c>
      <c r="U139" s="197">
        <v>278251</v>
      </c>
      <c r="V139" s="197">
        <v>200340</v>
      </c>
      <c r="X139" s="281">
        <f>VLOOKUP(A139,'Change in Proportion Calc'!$A$5:$H$316,8,FALSE)+I139+O139+T139</f>
        <v>1165813</v>
      </c>
      <c r="Z139" s="280">
        <f t="shared" si="6"/>
        <v>4031751</v>
      </c>
      <c r="AA139" s="280">
        <f t="shared" si="7"/>
        <v>0</v>
      </c>
      <c r="AC139" s="280">
        <f>VLOOKUP(A139,'OPEB Amounts_Report'!$A$10:$F$321,6,FALSE)</f>
        <v>4031751</v>
      </c>
      <c r="AD139" s="281">
        <f t="shared" si="8"/>
        <v>0</v>
      </c>
    </row>
    <row r="140" spans="1:30">
      <c r="A140" s="64">
        <v>7338</v>
      </c>
      <c r="B140" s="65" t="s">
        <v>131</v>
      </c>
      <c r="C140" s="90">
        <f>VLOOKUP(A140,'Change in Proportion Calc'!$A$5:$P$316,12,FALSE)</f>
        <v>9314</v>
      </c>
      <c r="D140" s="90">
        <f>VLOOKUP(A140,'Change in Proportion Calc'!$A$5:$P$316,13,FALSE)</f>
        <v>9314</v>
      </c>
      <c r="E140" s="90">
        <f>VLOOKUP(A140,'Change in Proportion Calc'!$A$5:$P$316,13,FALSE)</f>
        <v>9314</v>
      </c>
      <c r="F140" s="90">
        <f>VLOOKUP(A140,'Change in Proportion Calc'!$A$5:$P$316,13,FALSE)</f>
        <v>9314</v>
      </c>
      <c r="G140" s="90">
        <f>VLOOKUP(A140,'Change in Proportion Calc'!$A$5:$P$316,16,FALSE)</f>
        <v>9126</v>
      </c>
      <c r="H140" s="255"/>
      <c r="I140" s="280">
        <v>257</v>
      </c>
      <c r="J140" s="280">
        <v>257</v>
      </c>
      <c r="K140" s="280">
        <v>257</v>
      </c>
      <c r="L140" s="280">
        <v>257</v>
      </c>
      <c r="M140" s="281">
        <v>254</v>
      </c>
      <c r="N140" s="65"/>
      <c r="O140" s="154">
        <v>33083</v>
      </c>
      <c r="P140" s="154">
        <v>33083</v>
      </c>
      <c r="Q140" s="154">
        <v>33083</v>
      </c>
      <c r="R140" s="155">
        <v>21175</v>
      </c>
      <c r="T140" s="197">
        <v>32775</v>
      </c>
      <c r="U140" s="197">
        <v>32775</v>
      </c>
      <c r="V140" s="197">
        <v>23600</v>
      </c>
      <c r="X140" s="281">
        <f>VLOOKUP(A140,'Change in Proportion Calc'!$A$5:$H$316,8,FALSE)+I140+O140+T140</f>
        <v>75429</v>
      </c>
      <c r="Z140" s="280">
        <f t="shared" si="6"/>
        <v>191123</v>
      </c>
      <c r="AA140" s="280">
        <f t="shared" si="7"/>
        <v>0</v>
      </c>
      <c r="AC140" s="280">
        <f>VLOOKUP(A140,'OPEB Amounts_Report'!$A$10:$F$321,6,FALSE)</f>
        <v>191123</v>
      </c>
      <c r="AD140" s="281">
        <f t="shared" si="8"/>
        <v>0</v>
      </c>
    </row>
    <row r="141" spans="1:30">
      <c r="A141" s="62">
        <v>12037</v>
      </c>
      <c r="B141" s="66" t="s">
        <v>132</v>
      </c>
      <c r="C141" s="90">
        <f>VLOOKUP(A141,'Change in Proportion Calc'!$A$5:$P$316,12,FALSE)</f>
        <v>-14092</v>
      </c>
      <c r="D141" s="90">
        <f>VLOOKUP(A141,'Change in Proportion Calc'!$A$5:$P$316,13,FALSE)</f>
        <v>-14092</v>
      </c>
      <c r="E141" s="90">
        <f>VLOOKUP(A141,'Change in Proportion Calc'!$A$5:$P$316,13,FALSE)</f>
        <v>-14092</v>
      </c>
      <c r="F141" s="90">
        <f>VLOOKUP(A141,'Change in Proportion Calc'!$A$5:$P$316,13,FALSE)</f>
        <v>-14092</v>
      </c>
      <c r="G141" s="90">
        <f>VLOOKUP(A141,'Change in Proportion Calc'!$A$5:$P$316,16,FALSE)</f>
        <v>-13811</v>
      </c>
      <c r="H141" s="255"/>
      <c r="I141" s="280">
        <v>19492</v>
      </c>
      <c r="J141" s="280">
        <v>19492</v>
      </c>
      <c r="K141" s="280">
        <v>19492</v>
      </c>
      <c r="L141" s="280">
        <v>19492</v>
      </c>
      <c r="M141" s="281">
        <v>19104</v>
      </c>
      <c r="N141" s="65"/>
      <c r="O141" s="154">
        <v>-214607</v>
      </c>
      <c r="P141" s="154">
        <v>-214607</v>
      </c>
      <c r="Q141" s="154">
        <v>-214607</v>
      </c>
      <c r="R141" s="155">
        <v>-137347</v>
      </c>
      <c r="T141" s="197">
        <v>374826</v>
      </c>
      <c r="U141" s="197">
        <v>374826</v>
      </c>
      <c r="V141" s="197">
        <v>269877</v>
      </c>
      <c r="X141" s="281">
        <f>VLOOKUP(A141,'Change in Proportion Calc'!$A$5:$H$316,8,FALSE)+I141+O141+T141</f>
        <v>165619</v>
      </c>
      <c r="Z141" s="280">
        <f t="shared" si="6"/>
        <v>722283</v>
      </c>
      <c r="AA141" s="280">
        <f t="shared" si="7"/>
        <v>636740</v>
      </c>
      <c r="AC141" s="280">
        <f>VLOOKUP(A141,'OPEB Amounts_Report'!$A$10:$F$321,6,FALSE)</f>
        <v>722283</v>
      </c>
      <c r="AD141" s="281">
        <f t="shared" si="8"/>
        <v>0</v>
      </c>
    </row>
    <row r="142" spans="1:30">
      <c r="A142" s="64">
        <v>3150</v>
      </c>
      <c r="B142" s="65" t="s">
        <v>133</v>
      </c>
      <c r="C142" s="90">
        <f>VLOOKUP(A142,'Change in Proportion Calc'!$A$5:$P$316,12,FALSE)</f>
        <v>-65115</v>
      </c>
      <c r="D142" s="90">
        <f>VLOOKUP(A142,'Change in Proportion Calc'!$A$5:$P$316,13,FALSE)</f>
        <v>-65115</v>
      </c>
      <c r="E142" s="90">
        <f>VLOOKUP(A142,'Change in Proportion Calc'!$A$5:$P$316,13,FALSE)</f>
        <v>-65115</v>
      </c>
      <c r="F142" s="90">
        <f>VLOOKUP(A142,'Change in Proportion Calc'!$A$5:$P$316,13,FALSE)</f>
        <v>-65115</v>
      </c>
      <c r="G142" s="90">
        <f>VLOOKUP(A142,'Change in Proportion Calc'!$A$5:$P$316,16,FALSE)</f>
        <v>-63815</v>
      </c>
      <c r="H142" s="255"/>
      <c r="I142" s="280">
        <v>-203424</v>
      </c>
      <c r="J142" s="280">
        <v>-203424</v>
      </c>
      <c r="K142" s="280">
        <v>-203424</v>
      </c>
      <c r="L142" s="280">
        <v>-203424</v>
      </c>
      <c r="M142" s="281">
        <v>-199355</v>
      </c>
      <c r="N142" s="65"/>
      <c r="O142" s="154">
        <v>469186</v>
      </c>
      <c r="P142" s="154">
        <v>469186</v>
      </c>
      <c r="Q142" s="154">
        <v>469186</v>
      </c>
      <c r="R142" s="155">
        <v>300277</v>
      </c>
      <c r="T142" s="197">
        <v>38903</v>
      </c>
      <c r="U142" s="197">
        <v>38903</v>
      </c>
      <c r="V142" s="197">
        <v>28008</v>
      </c>
      <c r="X142" s="281">
        <f>VLOOKUP(A142,'Change in Proportion Calc'!$A$5:$H$316,8,FALSE)+I142+O142+T142</f>
        <v>239549</v>
      </c>
      <c r="Z142" s="280">
        <f t="shared" si="6"/>
        <v>1305560</v>
      </c>
      <c r="AA142" s="280">
        <f t="shared" si="7"/>
        <v>1133902</v>
      </c>
      <c r="AC142" s="280">
        <f>VLOOKUP(A142,'OPEB Amounts_Report'!$A$10:$F$321,6,FALSE)</f>
        <v>1305560</v>
      </c>
      <c r="AD142" s="281">
        <f t="shared" si="8"/>
        <v>0</v>
      </c>
    </row>
    <row r="143" spans="1:30">
      <c r="A143" s="62">
        <v>3160</v>
      </c>
      <c r="B143" s="66" t="s">
        <v>134</v>
      </c>
      <c r="C143" s="90">
        <f>VLOOKUP(A143,'Change in Proportion Calc'!$A$5:$P$316,12,FALSE)</f>
        <v>-6155</v>
      </c>
      <c r="D143" s="90">
        <f>VLOOKUP(A143,'Change in Proportion Calc'!$A$5:$P$316,13,FALSE)</f>
        <v>-6155</v>
      </c>
      <c r="E143" s="90">
        <f>VLOOKUP(A143,'Change in Proportion Calc'!$A$5:$P$316,13,FALSE)</f>
        <v>-6155</v>
      </c>
      <c r="F143" s="90">
        <f>VLOOKUP(A143,'Change in Proportion Calc'!$A$5:$P$316,13,FALSE)</f>
        <v>-6155</v>
      </c>
      <c r="G143" s="90">
        <f>VLOOKUP(A143,'Change in Proportion Calc'!$A$5:$P$316,16,FALSE)</f>
        <v>-6033</v>
      </c>
      <c r="H143" s="255"/>
      <c r="I143" s="280">
        <v>-75737</v>
      </c>
      <c r="J143" s="280">
        <v>-75737</v>
      </c>
      <c r="K143" s="280">
        <v>-75737</v>
      </c>
      <c r="L143" s="280">
        <v>-75737</v>
      </c>
      <c r="M143" s="281">
        <v>-74220</v>
      </c>
      <c r="N143" s="65"/>
      <c r="O143" s="154">
        <v>33083</v>
      </c>
      <c r="P143" s="154">
        <v>33083</v>
      </c>
      <c r="Q143" s="154">
        <v>33083</v>
      </c>
      <c r="R143" s="155">
        <v>21175</v>
      </c>
      <c r="T143" s="197">
        <v>1556</v>
      </c>
      <c r="U143" s="197">
        <v>1556</v>
      </c>
      <c r="V143" s="197">
        <v>1121</v>
      </c>
      <c r="X143" s="281">
        <f>VLOOKUP(A143,'Change in Proportion Calc'!$A$5:$H$316,8,FALSE)+I143+O143+T143</f>
        <v>-47253</v>
      </c>
      <c r="Z143" s="280">
        <f t="shared" si="6"/>
        <v>90018</v>
      </c>
      <c r="AA143" s="280">
        <f t="shared" si="7"/>
        <v>332084</v>
      </c>
      <c r="AC143" s="280">
        <f>VLOOKUP(A143,'OPEB Amounts_Report'!$A$10:$F$321,6,FALSE)</f>
        <v>90018</v>
      </c>
      <c r="AD143" s="281">
        <f t="shared" si="8"/>
        <v>0</v>
      </c>
    </row>
    <row r="144" spans="1:30">
      <c r="A144" s="62">
        <v>10120</v>
      </c>
      <c r="B144" s="66" t="s">
        <v>136</v>
      </c>
      <c r="C144" s="90">
        <f>VLOOKUP(A144,'Change in Proportion Calc'!$A$5:$P$316,12,FALSE)</f>
        <v>648</v>
      </c>
      <c r="D144" s="90">
        <f>VLOOKUP(A144,'Change in Proportion Calc'!$A$5:$P$316,13,FALSE)</f>
        <v>648</v>
      </c>
      <c r="E144" s="90">
        <f>VLOOKUP(A144,'Change in Proportion Calc'!$A$5:$P$316,13,FALSE)</f>
        <v>648</v>
      </c>
      <c r="F144" s="90">
        <f>VLOOKUP(A144,'Change in Proportion Calc'!$A$5:$P$316,13,FALSE)</f>
        <v>648</v>
      </c>
      <c r="G144" s="90">
        <f>VLOOKUP(A144,'Change in Proportion Calc'!$A$5:$P$316,16,FALSE)</f>
        <v>635</v>
      </c>
      <c r="H144" s="255"/>
      <c r="I144" s="280">
        <v>-10991</v>
      </c>
      <c r="J144" s="280">
        <v>-10991</v>
      </c>
      <c r="K144" s="280">
        <v>-10991</v>
      </c>
      <c r="L144" s="280">
        <v>-10991</v>
      </c>
      <c r="M144" s="281">
        <v>-10773</v>
      </c>
      <c r="N144" s="65"/>
      <c r="O144" s="154">
        <v>-17464</v>
      </c>
      <c r="P144" s="154">
        <v>-17464</v>
      </c>
      <c r="Q144" s="154">
        <v>-17464</v>
      </c>
      <c r="R144" s="155">
        <v>-11175</v>
      </c>
      <c r="T144" s="197">
        <v>14005</v>
      </c>
      <c r="U144" s="197">
        <v>14005</v>
      </c>
      <c r="V144" s="197">
        <v>10083</v>
      </c>
      <c r="X144" s="281">
        <f>VLOOKUP(A144,'Change in Proportion Calc'!$A$5:$H$316,8,FALSE)+I144+O144+T144</f>
        <v>-13802</v>
      </c>
      <c r="Z144" s="280">
        <f t="shared" si="6"/>
        <v>27315</v>
      </c>
      <c r="AA144" s="280">
        <f t="shared" si="7"/>
        <v>89849</v>
      </c>
      <c r="AC144" s="280">
        <f>VLOOKUP(A144,'OPEB Amounts_Report'!$A$10:$F$321,6,FALSE)</f>
        <v>27315</v>
      </c>
      <c r="AD144" s="281">
        <f t="shared" si="8"/>
        <v>0</v>
      </c>
    </row>
    <row r="145" spans="1:30">
      <c r="A145" s="64">
        <v>23070</v>
      </c>
      <c r="B145" s="65" t="s">
        <v>137</v>
      </c>
      <c r="C145" s="90">
        <f>VLOOKUP(A145,'Change in Proportion Calc'!$A$5:$P$316,12,FALSE)</f>
        <v>-3158</v>
      </c>
      <c r="D145" s="90">
        <f>VLOOKUP(A145,'Change in Proportion Calc'!$A$5:$P$316,13,FALSE)</f>
        <v>-3158</v>
      </c>
      <c r="E145" s="90">
        <f>VLOOKUP(A145,'Change in Proportion Calc'!$A$5:$P$316,13,FALSE)</f>
        <v>-3158</v>
      </c>
      <c r="F145" s="90">
        <f>VLOOKUP(A145,'Change in Proportion Calc'!$A$5:$P$316,13,FALSE)</f>
        <v>-3158</v>
      </c>
      <c r="G145" s="90">
        <f>VLOOKUP(A145,'Change in Proportion Calc'!$A$5:$P$316,16,FALSE)</f>
        <v>-3097</v>
      </c>
      <c r="H145" s="255"/>
      <c r="I145" s="280">
        <v>20780</v>
      </c>
      <c r="J145" s="280">
        <v>20780</v>
      </c>
      <c r="K145" s="280">
        <v>20780</v>
      </c>
      <c r="L145" s="280">
        <v>20780</v>
      </c>
      <c r="M145" s="281">
        <v>20366</v>
      </c>
      <c r="N145" s="65"/>
      <c r="O145" s="154">
        <v>34054</v>
      </c>
      <c r="P145" s="154">
        <v>34054</v>
      </c>
      <c r="Q145" s="154">
        <v>34054</v>
      </c>
      <c r="R145" s="155">
        <v>21793</v>
      </c>
      <c r="T145" s="197">
        <v>10601</v>
      </c>
      <c r="U145" s="197">
        <v>10601</v>
      </c>
      <c r="V145" s="197">
        <v>7632</v>
      </c>
      <c r="X145" s="281">
        <f>VLOOKUP(A145,'Change in Proportion Calc'!$A$5:$H$316,8,FALSE)+I145+O145+T145</f>
        <v>62276</v>
      </c>
      <c r="Z145" s="280">
        <f t="shared" si="6"/>
        <v>190840</v>
      </c>
      <c r="AA145" s="280">
        <f t="shared" si="7"/>
        <v>15729</v>
      </c>
      <c r="AC145" s="280">
        <f>VLOOKUP(A145,'OPEB Amounts_Report'!$A$10:$F$321,6,FALSE)</f>
        <v>190840</v>
      </c>
      <c r="AD145" s="281">
        <f t="shared" si="8"/>
        <v>0</v>
      </c>
    </row>
    <row r="146" spans="1:30">
      <c r="A146" s="62">
        <v>3170</v>
      </c>
      <c r="B146" s="66" t="s">
        <v>138</v>
      </c>
      <c r="C146" s="90">
        <f>VLOOKUP(A146,'Change in Proportion Calc'!$A$5:$P$316,12,FALSE)</f>
        <v>297717</v>
      </c>
      <c r="D146" s="90">
        <f>VLOOKUP(A146,'Change in Proportion Calc'!$A$5:$P$316,13,FALSE)</f>
        <v>297717</v>
      </c>
      <c r="E146" s="90">
        <f>VLOOKUP(A146,'Change in Proportion Calc'!$A$5:$P$316,13,FALSE)</f>
        <v>297717</v>
      </c>
      <c r="F146" s="90">
        <f>VLOOKUP(A146,'Change in Proportion Calc'!$A$5:$P$316,13,FALSE)</f>
        <v>297717</v>
      </c>
      <c r="G146" s="90">
        <f>VLOOKUP(A146,'Change in Proportion Calc'!$A$5:$P$316,16,FALSE)</f>
        <v>291764</v>
      </c>
      <c r="H146" s="255"/>
      <c r="I146" s="280">
        <v>-493833</v>
      </c>
      <c r="J146" s="280">
        <v>-493833</v>
      </c>
      <c r="K146" s="280">
        <v>-493833</v>
      </c>
      <c r="L146" s="280">
        <v>-493833</v>
      </c>
      <c r="M146" s="281">
        <v>-483957</v>
      </c>
      <c r="N146" s="65"/>
      <c r="O146" s="154">
        <v>-623058</v>
      </c>
      <c r="P146" s="154">
        <v>-623058</v>
      </c>
      <c r="Q146" s="154">
        <v>-623058</v>
      </c>
      <c r="R146" s="155">
        <v>-398758</v>
      </c>
      <c r="T146" s="197">
        <v>308789</v>
      </c>
      <c r="U146" s="197">
        <v>308789</v>
      </c>
      <c r="V146" s="197">
        <v>222330</v>
      </c>
      <c r="X146" s="281">
        <f>VLOOKUP(A146,'Change in Proportion Calc'!$A$5:$H$316,8,FALSE)+I146+O146+T146</f>
        <v>-510385</v>
      </c>
      <c r="Z146" s="280">
        <f t="shared" si="6"/>
        <v>2013751</v>
      </c>
      <c r="AA146" s="280">
        <f t="shared" si="7"/>
        <v>3610330</v>
      </c>
      <c r="AC146" s="280">
        <f>VLOOKUP(A146,'OPEB Amounts_Report'!$A$10:$F$321,6,FALSE)</f>
        <v>2013751</v>
      </c>
      <c r="AD146" s="281">
        <f t="shared" si="8"/>
        <v>0</v>
      </c>
    </row>
    <row r="147" spans="1:30">
      <c r="A147" s="64">
        <v>32093</v>
      </c>
      <c r="B147" s="65" t="s">
        <v>139</v>
      </c>
      <c r="C147" s="90">
        <f>VLOOKUP(A147,'Change in Proportion Calc'!$A$5:$P$316,12,FALSE)</f>
        <v>93786</v>
      </c>
      <c r="D147" s="90">
        <f>VLOOKUP(A147,'Change in Proportion Calc'!$A$5:$P$316,13,FALSE)</f>
        <v>93786</v>
      </c>
      <c r="E147" s="90">
        <f>VLOOKUP(A147,'Change in Proportion Calc'!$A$5:$P$316,13,FALSE)</f>
        <v>93786</v>
      </c>
      <c r="F147" s="90">
        <f>VLOOKUP(A147,'Change in Proportion Calc'!$A$5:$P$316,13,FALSE)</f>
        <v>93786</v>
      </c>
      <c r="G147" s="90">
        <f>VLOOKUP(A147,'Change in Proportion Calc'!$A$5:$P$316,16,FALSE)</f>
        <v>91909</v>
      </c>
      <c r="H147" s="255"/>
      <c r="I147" s="280">
        <v>26791</v>
      </c>
      <c r="J147" s="280">
        <v>26791</v>
      </c>
      <c r="K147" s="280">
        <v>26791</v>
      </c>
      <c r="L147" s="280">
        <v>26791</v>
      </c>
      <c r="M147" s="281">
        <v>26256</v>
      </c>
      <c r="N147" s="65"/>
      <c r="O147" s="154">
        <v>248078</v>
      </c>
      <c r="P147" s="154">
        <v>248078</v>
      </c>
      <c r="Q147" s="154">
        <v>248078</v>
      </c>
      <c r="R147" s="155">
        <v>158772</v>
      </c>
      <c r="T147" s="197">
        <v>79361</v>
      </c>
      <c r="U147" s="197">
        <v>79361</v>
      </c>
      <c r="V147" s="197">
        <v>57142</v>
      </c>
      <c r="X147" s="281">
        <f>VLOOKUP(A147,'Change in Proportion Calc'!$A$5:$H$316,8,FALSE)+I147+O147+T147</f>
        <v>448016</v>
      </c>
      <c r="Z147" s="280">
        <f t="shared" si="6"/>
        <v>1365113</v>
      </c>
      <c r="AA147" s="280">
        <f t="shared" si="7"/>
        <v>0</v>
      </c>
      <c r="AC147" s="280">
        <f>VLOOKUP(A147,'OPEB Amounts_Report'!$A$10:$F$321,6,FALSE)</f>
        <v>1365113</v>
      </c>
      <c r="AD147" s="281">
        <f t="shared" si="8"/>
        <v>0</v>
      </c>
    </row>
    <row r="148" spans="1:30">
      <c r="A148" s="62">
        <v>14045</v>
      </c>
      <c r="B148" s="66" t="s">
        <v>140</v>
      </c>
      <c r="C148" s="90">
        <f>VLOOKUP(A148,'Change in Proportion Calc'!$A$5:$P$316,12,FALSE)</f>
        <v>10610</v>
      </c>
      <c r="D148" s="90">
        <f>VLOOKUP(A148,'Change in Proportion Calc'!$A$5:$P$316,13,FALSE)</f>
        <v>10610</v>
      </c>
      <c r="E148" s="90">
        <f>VLOOKUP(A148,'Change in Proportion Calc'!$A$5:$P$316,13,FALSE)</f>
        <v>10610</v>
      </c>
      <c r="F148" s="90">
        <f>VLOOKUP(A148,'Change in Proportion Calc'!$A$5:$P$316,13,FALSE)</f>
        <v>10610</v>
      </c>
      <c r="G148" s="90">
        <f>VLOOKUP(A148,'Change in Proportion Calc'!$A$5:$P$316,16,FALSE)</f>
        <v>10396</v>
      </c>
      <c r="H148" s="255"/>
      <c r="I148" s="280">
        <v>230644</v>
      </c>
      <c r="J148" s="280">
        <v>230644</v>
      </c>
      <c r="K148" s="280">
        <v>230644</v>
      </c>
      <c r="L148" s="280">
        <v>230644</v>
      </c>
      <c r="M148" s="281">
        <v>226033</v>
      </c>
      <c r="N148" s="65"/>
      <c r="O148" s="154">
        <v>324044</v>
      </c>
      <c r="P148" s="154">
        <v>324044</v>
      </c>
      <c r="Q148" s="154">
        <v>324044</v>
      </c>
      <c r="R148" s="155">
        <v>207390</v>
      </c>
      <c r="T148" s="197">
        <v>190817</v>
      </c>
      <c r="U148" s="197">
        <v>190817</v>
      </c>
      <c r="V148" s="197">
        <v>137390</v>
      </c>
      <c r="X148" s="281">
        <f>VLOOKUP(A148,'Change in Proportion Calc'!$A$5:$H$316,8,FALSE)+I148+O148+T148</f>
        <v>756115</v>
      </c>
      <c r="Z148" s="280">
        <f t="shared" si="6"/>
        <v>2154486</v>
      </c>
      <c r="AA148" s="280">
        <f t="shared" si="7"/>
        <v>0</v>
      </c>
      <c r="AC148" s="280">
        <f>VLOOKUP(A148,'OPEB Amounts_Report'!$A$10:$F$321,6,FALSE)</f>
        <v>2154486</v>
      </c>
      <c r="AD148" s="281">
        <f t="shared" si="8"/>
        <v>0</v>
      </c>
    </row>
    <row r="149" spans="1:30">
      <c r="A149" s="64">
        <v>2322</v>
      </c>
      <c r="B149" s="65" t="s">
        <v>141</v>
      </c>
      <c r="C149" s="90">
        <f>VLOOKUP(A149,'Change in Proportion Calc'!$A$5:$P$316,12,FALSE)</f>
        <v>-7046</v>
      </c>
      <c r="D149" s="90">
        <f>VLOOKUP(A149,'Change in Proportion Calc'!$A$5:$P$316,13,FALSE)</f>
        <v>-7046</v>
      </c>
      <c r="E149" s="90">
        <f>VLOOKUP(A149,'Change in Proportion Calc'!$A$5:$P$316,13,FALSE)</f>
        <v>-7046</v>
      </c>
      <c r="F149" s="90">
        <f>VLOOKUP(A149,'Change in Proportion Calc'!$A$5:$P$316,13,FALSE)</f>
        <v>-7046</v>
      </c>
      <c r="G149" s="90">
        <f>VLOOKUP(A149,'Change in Proportion Calc'!$A$5:$P$316,16,FALSE)</f>
        <v>-6906</v>
      </c>
      <c r="H149" s="255"/>
      <c r="I149" s="280">
        <v>-30312</v>
      </c>
      <c r="J149" s="280">
        <v>-30312</v>
      </c>
      <c r="K149" s="280">
        <v>-30312</v>
      </c>
      <c r="L149" s="280">
        <v>-30312</v>
      </c>
      <c r="M149" s="281">
        <v>-29704</v>
      </c>
      <c r="N149" s="65"/>
      <c r="O149" s="154">
        <v>12225</v>
      </c>
      <c r="P149" s="154">
        <v>12225</v>
      </c>
      <c r="Q149" s="154">
        <v>12225</v>
      </c>
      <c r="R149" s="155">
        <v>7822</v>
      </c>
      <c r="T149" s="197">
        <v>-10698</v>
      </c>
      <c r="U149" s="197">
        <v>-10698</v>
      </c>
      <c r="V149" s="197">
        <v>-7704</v>
      </c>
      <c r="X149" s="281">
        <f>VLOOKUP(A149,'Change in Proportion Calc'!$A$5:$H$316,8,FALSE)+I149+O149+T149</f>
        <v>-35831</v>
      </c>
      <c r="Z149" s="280">
        <f t="shared" si="6"/>
        <v>32272</v>
      </c>
      <c r="AA149" s="280">
        <f t="shared" si="7"/>
        <v>174132</v>
      </c>
      <c r="AC149" s="280">
        <f>VLOOKUP(A149,'OPEB Amounts_Report'!$A$10:$F$321,6,FALSE)</f>
        <v>32272</v>
      </c>
      <c r="AD149" s="281">
        <f t="shared" si="8"/>
        <v>0</v>
      </c>
    </row>
    <row r="150" spans="1:30">
      <c r="A150" s="62">
        <v>3006</v>
      </c>
      <c r="B150" s="66" t="s">
        <v>142</v>
      </c>
      <c r="C150" s="90">
        <f>VLOOKUP(A150,'Change in Proportion Calc'!$A$5:$P$316,12,FALSE)</f>
        <v>83743</v>
      </c>
      <c r="D150" s="90">
        <f>VLOOKUP(A150,'Change in Proportion Calc'!$A$5:$P$316,13,FALSE)</f>
        <v>83743</v>
      </c>
      <c r="E150" s="90">
        <f>VLOOKUP(A150,'Change in Proportion Calc'!$A$5:$P$316,13,FALSE)</f>
        <v>83743</v>
      </c>
      <c r="F150" s="90">
        <f>VLOOKUP(A150,'Change in Proportion Calc'!$A$5:$P$316,13,FALSE)</f>
        <v>83743</v>
      </c>
      <c r="G150" s="90">
        <f>VLOOKUP(A150,'Change in Proportion Calc'!$A$5:$P$316,16,FALSE)</f>
        <v>82069</v>
      </c>
      <c r="H150" s="255"/>
      <c r="I150" s="280">
        <v>80545</v>
      </c>
      <c r="J150" s="280">
        <v>80545</v>
      </c>
      <c r="K150" s="280">
        <v>80545</v>
      </c>
      <c r="L150" s="280">
        <v>80545</v>
      </c>
      <c r="M150" s="281">
        <v>78935</v>
      </c>
      <c r="N150" s="65"/>
      <c r="O150" s="154">
        <v>-41815</v>
      </c>
      <c r="P150" s="154">
        <v>-41815</v>
      </c>
      <c r="Q150" s="154">
        <v>-41815</v>
      </c>
      <c r="R150" s="155">
        <v>-26763</v>
      </c>
      <c r="T150" s="197">
        <v>-76735</v>
      </c>
      <c r="U150" s="197">
        <v>-76735</v>
      </c>
      <c r="V150" s="197">
        <v>-55251</v>
      </c>
      <c r="X150" s="281">
        <f>VLOOKUP(A150,'Change in Proportion Calc'!$A$5:$H$316,8,FALSE)+I150+O150+T150</f>
        <v>45738</v>
      </c>
      <c r="Z150" s="280">
        <f t="shared" si="6"/>
        <v>737611</v>
      </c>
      <c r="AA150" s="280">
        <f t="shared" si="7"/>
        <v>242379</v>
      </c>
      <c r="AC150" s="280">
        <f>VLOOKUP(A150,'OPEB Amounts_Report'!$A$10:$F$321,6,FALSE)</f>
        <v>737611</v>
      </c>
      <c r="AD150" s="281">
        <f t="shared" si="8"/>
        <v>0</v>
      </c>
    </row>
    <row r="151" spans="1:30">
      <c r="A151" s="64">
        <v>6019</v>
      </c>
      <c r="B151" s="65" t="s">
        <v>143</v>
      </c>
      <c r="C151" s="90">
        <f>VLOOKUP(A151,'Change in Proportion Calc'!$A$5:$P$316,12,FALSE)</f>
        <v>137439</v>
      </c>
      <c r="D151" s="90">
        <f>VLOOKUP(A151,'Change in Proportion Calc'!$A$5:$P$316,13,FALSE)</f>
        <v>137439</v>
      </c>
      <c r="E151" s="90">
        <f>VLOOKUP(A151,'Change in Proportion Calc'!$A$5:$P$316,13,FALSE)</f>
        <v>137439</v>
      </c>
      <c r="F151" s="90">
        <f>VLOOKUP(A151,'Change in Proportion Calc'!$A$5:$P$316,13,FALSE)</f>
        <v>137439</v>
      </c>
      <c r="G151" s="90">
        <f>VLOOKUP(A151,'Change in Proportion Calc'!$A$5:$P$316,16,FALSE)</f>
        <v>134691</v>
      </c>
      <c r="H151" s="255"/>
      <c r="I151" s="280">
        <v>152933</v>
      </c>
      <c r="J151" s="280">
        <v>152933</v>
      </c>
      <c r="K151" s="280">
        <v>152933</v>
      </c>
      <c r="L151" s="280">
        <v>152933</v>
      </c>
      <c r="M151" s="281">
        <v>149873</v>
      </c>
      <c r="N151" s="65"/>
      <c r="O151" s="154">
        <v>51420</v>
      </c>
      <c r="P151" s="154">
        <v>51420</v>
      </c>
      <c r="Q151" s="154">
        <v>51420</v>
      </c>
      <c r="R151" s="155">
        <v>32910</v>
      </c>
      <c r="T151" s="197">
        <v>-64675</v>
      </c>
      <c r="U151" s="197">
        <v>-64675</v>
      </c>
      <c r="V151" s="197">
        <v>-46568</v>
      </c>
      <c r="X151" s="281">
        <f>VLOOKUP(A151,'Change in Proportion Calc'!$A$5:$H$316,8,FALSE)+I151+O151+T151</f>
        <v>277117</v>
      </c>
      <c r="Z151" s="280">
        <f t="shared" si="6"/>
        <v>1428869</v>
      </c>
      <c r="AA151" s="280">
        <f t="shared" si="7"/>
        <v>111243</v>
      </c>
      <c r="AC151" s="280">
        <f>VLOOKUP(A151,'OPEB Amounts_Report'!$A$10:$F$321,6,FALSE)</f>
        <v>1428869</v>
      </c>
      <c r="AD151" s="281">
        <f t="shared" si="8"/>
        <v>0</v>
      </c>
    </row>
    <row r="152" spans="1:30">
      <c r="A152" s="62">
        <v>12128</v>
      </c>
      <c r="B152" s="66" t="s">
        <v>144</v>
      </c>
      <c r="C152" s="90">
        <f>VLOOKUP(A152,'Change in Proportion Calc'!$A$5:$P$316,12,FALSE)</f>
        <v>-63496</v>
      </c>
      <c r="D152" s="90">
        <f>VLOOKUP(A152,'Change in Proportion Calc'!$A$5:$P$316,13,FALSE)</f>
        <v>-63496</v>
      </c>
      <c r="E152" s="90">
        <f>VLOOKUP(A152,'Change in Proportion Calc'!$A$5:$P$316,13,FALSE)</f>
        <v>-63496</v>
      </c>
      <c r="F152" s="90">
        <f>VLOOKUP(A152,'Change in Proportion Calc'!$A$5:$P$316,13,FALSE)</f>
        <v>-63496</v>
      </c>
      <c r="G152" s="90">
        <f>VLOOKUP(A152,'Change in Proportion Calc'!$A$5:$P$316,16,FALSE)</f>
        <v>-62224</v>
      </c>
      <c r="H152" s="255"/>
      <c r="I152" s="280">
        <v>-99780</v>
      </c>
      <c r="J152" s="280">
        <v>-99780</v>
      </c>
      <c r="K152" s="280">
        <v>-99780</v>
      </c>
      <c r="L152" s="280">
        <v>-99780</v>
      </c>
      <c r="M152" s="281">
        <v>-97784</v>
      </c>
      <c r="N152" s="65"/>
      <c r="O152" s="154">
        <v>83922</v>
      </c>
      <c r="P152" s="154">
        <v>83922</v>
      </c>
      <c r="Q152" s="154">
        <v>83922</v>
      </c>
      <c r="R152" s="155">
        <v>53708</v>
      </c>
      <c r="T152" s="197">
        <v>-10018</v>
      </c>
      <c r="U152" s="197">
        <v>-10018</v>
      </c>
      <c r="V152" s="197">
        <v>-7211</v>
      </c>
      <c r="X152" s="281">
        <f>VLOOKUP(A152,'Change in Proportion Calc'!$A$5:$H$316,8,FALSE)+I152+O152+T152</f>
        <v>-89372</v>
      </c>
      <c r="Z152" s="280">
        <f t="shared" si="6"/>
        <v>221552</v>
      </c>
      <c r="AA152" s="280">
        <f t="shared" si="7"/>
        <v>730561</v>
      </c>
      <c r="AC152" s="280">
        <f>VLOOKUP(A152,'OPEB Amounts_Report'!$A$10:$F$321,6,FALSE)</f>
        <v>221552</v>
      </c>
      <c r="AD152" s="281">
        <f t="shared" si="8"/>
        <v>0</v>
      </c>
    </row>
    <row r="153" spans="1:30">
      <c r="A153" s="64">
        <v>3180</v>
      </c>
      <c r="B153" s="65" t="s">
        <v>145</v>
      </c>
      <c r="C153" s="90">
        <f>VLOOKUP(A153,'Change in Proportion Calc'!$A$5:$P$316,12,FALSE)</f>
        <v>-51995</v>
      </c>
      <c r="D153" s="90">
        <f>VLOOKUP(A153,'Change in Proportion Calc'!$A$5:$P$316,13,FALSE)</f>
        <v>-51995</v>
      </c>
      <c r="E153" s="90">
        <f>VLOOKUP(A153,'Change in Proportion Calc'!$A$5:$P$316,13,FALSE)</f>
        <v>-51995</v>
      </c>
      <c r="F153" s="90">
        <f>VLOOKUP(A153,'Change in Proportion Calc'!$A$5:$P$316,13,FALSE)</f>
        <v>-51995</v>
      </c>
      <c r="G153" s="90">
        <f>VLOOKUP(A153,'Change in Proportion Calc'!$A$5:$P$316,16,FALSE)</f>
        <v>-50956</v>
      </c>
      <c r="H153" s="255"/>
      <c r="I153" s="280">
        <v>-19320</v>
      </c>
      <c r="J153" s="280">
        <v>-19320</v>
      </c>
      <c r="K153" s="280">
        <v>-19320</v>
      </c>
      <c r="L153" s="280">
        <v>-19320</v>
      </c>
      <c r="M153" s="281">
        <v>-18936</v>
      </c>
      <c r="N153" s="65"/>
      <c r="O153" s="154">
        <v>-84310</v>
      </c>
      <c r="P153" s="154">
        <v>-84310</v>
      </c>
      <c r="Q153" s="154">
        <v>-84310</v>
      </c>
      <c r="R153" s="155">
        <v>-53957</v>
      </c>
      <c r="T153" s="197">
        <v>-21007</v>
      </c>
      <c r="U153" s="197">
        <v>-21007</v>
      </c>
      <c r="V153" s="197">
        <v>-15127</v>
      </c>
      <c r="X153" s="281">
        <f>VLOOKUP(A153,'Change in Proportion Calc'!$A$5:$H$316,8,FALSE)+I153+O153+T153</f>
        <v>-176632</v>
      </c>
      <c r="Z153" s="280">
        <f t="shared" si="6"/>
        <v>0</v>
      </c>
      <c r="AA153" s="280">
        <f t="shared" si="7"/>
        <v>594543</v>
      </c>
      <c r="AC153" s="280">
        <f>VLOOKUP(A153,'OPEB Amounts_Report'!$A$10:$F$321,6,FALSE)</f>
        <v>0</v>
      </c>
      <c r="AD153" s="281">
        <f t="shared" si="8"/>
        <v>0</v>
      </c>
    </row>
    <row r="154" spans="1:30">
      <c r="A154" s="62">
        <v>25075</v>
      </c>
      <c r="B154" s="66" t="s">
        <v>146</v>
      </c>
      <c r="C154" s="90">
        <f>VLOOKUP(A154,'Change in Proportion Calc'!$A$5:$P$316,12,FALSE)</f>
        <v>25026</v>
      </c>
      <c r="D154" s="90">
        <f>VLOOKUP(A154,'Change in Proportion Calc'!$A$5:$P$316,13,FALSE)</f>
        <v>25026</v>
      </c>
      <c r="E154" s="90">
        <f>VLOOKUP(A154,'Change in Proportion Calc'!$A$5:$P$316,13,FALSE)</f>
        <v>25026</v>
      </c>
      <c r="F154" s="90">
        <f>VLOOKUP(A154,'Change in Proportion Calc'!$A$5:$P$316,13,FALSE)</f>
        <v>25026</v>
      </c>
      <c r="G154" s="90">
        <f>VLOOKUP(A154,'Change in Proportion Calc'!$A$5:$P$316,16,FALSE)</f>
        <v>24524</v>
      </c>
      <c r="H154" s="255"/>
      <c r="I154" s="280">
        <v>-22755</v>
      </c>
      <c r="J154" s="280">
        <v>-22755</v>
      </c>
      <c r="K154" s="280">
        <v>-22755</v>
      </c>
      <c r="L154" s="280">
        <v>-22755</v>
      </c>
      <c r="M154" s="281">
        <v>-22302</v>
      </c>
      <c r="N154" s="65"/>
      <c r="O154" s="154">
        <v>58988</v>
      </c>
      <c r="P154" s="154">
        <v>58988</v>
      </c>
      <c r="Q154" s="154">
        <v>58988</v>
      </c>
      <c r="R154" s="155">
        <v>37751</v>
      </c>
      <c r="T154" s="197">
        <v>-85586</v>
      </c>
      <c r="U154" s="197">
        <v>-85586</v>
      </c>
      <c r="V154" s="197">
        <v>-61620</v>
      </c>
      <c r="X154" s="281">
        <f>VLOOKUP(A154,'Change in Proportion Calc'!$A$5:$H$316,8,FALSE)+I154+O154+T154</f>
        <v>-24327</v>
      </c>
      <c r="Z154" s="280">
        <f t="shared" si="6"/>
        <v>280355</v>
      </c>
      <c r="AA154" s="280">
        <f t="shared" si="7"/>
        <v>237773</v>
      </c>
      <c r="AC154" s="280">
        <f>VLOOKUP(A154,'OPEB Amounts_Report'!$A$10:$F$321,6,FALSE)</f>
        <v>280355</v>
      </c>
      <c r="AD154" s="281">
        <f t="shared" si="8"/>
        <v>0</v>
      </c>
    </row>
    <row r="155" spans="1:30">
      <c r="A155" s="64">
        <v>9028</v>
      </c>
      <c r="B155" s="65" t="s">
        <v>147</v>
      </c>
      <c r="C155" s="90">
        <f>VLOOKUP(A155,'Change in Proportion Calc'!$A$5:$P$316,12,FALSE)</f>
        <v>-13525</v>
      </c>
      <c r="D155" s="90">
        <f>VLOOKUP(A155,'Change in Proportion Calc'!$A$5:$P$316,13,FALSE)</f>
        <v>-13525</v>
      </c>
      <c r="E155" s="90">
        <f>VLOOKUP(A155,'Change in Proportion Calc'!$A$5:$P$316,13,FALSE)</f>
        <v>-13525</v>
      </c>
      <c r="F155" s="90">
        <f>VLOOKUP(A155,'Change in Proportion Calc'!$A$5:$P$316,13,FALSE)</f>
        <v>-13525</v>
      </c>
      <c r="G155" s="90">
        <f>VLOOKUP(A155,'Change in Proportion Calc'!$A$5:$P$316,16,FALSE)</f>
        <v>-13256</v>
      </c>
      <c r="H155" s="255"/>
      <c r="I155" s="280">
        <v>3778</v>
      </c>
      <c r="J155" s="280">
        <v>3778</v>
      </c>
      <c r="K155" s="280">
        <v>3778</v>
      </c>
      <c r="L155" s="280">
        <v>3778</v>
      </c>
      <c r="M155" s="281">
        <v>3704</v>
      </c>
      <c r="N155" s="65"/>
      <c r="O155" s="154">
        <v>-679</v>
      </c>
      <c r="P155" s="154">
        <v>-679</v>
      </c>
      <c r="Q155" s="154">
        <v>-679</v>
      </c>
      <c r="R155" s="155">
        <v>-435</v>
      </c>
      <c r="T155" s="197">
        <v>-4765</v>
      </c>
      <c r="U155" s="197">
        <v>-4765</v>
      </c>
      <c r="V155" s="197">
        <v>-3433</v>
      </c>
      <c r="X155" s="281">
        <f>VLOOKUP(A155,'Change in Proportion Calc'!$A$5:$H$316,8,FALSE)+I155+O155+T155</f>
        <v>-15191</v>
      </c>
      <c r="Z155" s="280">
        <f t="shared" si="6"/>
        <v>15038</v>
      </c>
      <c r="AA155" s="280">
        <f t="shared" si="7"/>
        <v>77347</v>
      </c>
      <c r="AC155" s="280">
        <f>VLOOKUP(A155,'OPEB Amounts_Report'!$A$10:$F$321,6,FALSE)</f>
        <v>15038</v>
      </c>
      <c r="AD155" s="281">
        <f t="shared" si="8"/>
        <v>0</v>
      </c>
    </row>
    <row r="156" spans="1:30">
      <c r="A156" s="62">
        <v>17424</v>
      </c>
      <c r="B156" s="66" t="s">
        <v>148</v>
      </c>
      <c r="C156" s="90">
        <f>VLOOKUP(A156,'Change in Proportion Calc'!$A$5:$P$316,12,FALSE)</f>
        <v>9233</v>
      </c>
      <c r="D156" s="90">
        <f>VLOOKUP(A156,'Change in Proportion Calc'!$A$5:$P$316,13,FALSE)</f>
        <v>9233</v>
      </c>
      <c r="E156" s="90">
        <f>VLOOKUP(A156,'Change in Proportion Calc'!$A$5:$P$316,13,FALSE)</f>
        <v>9233</v>
      </c>
      <c r="F156" s="90">
        <f>VLOOKUP(A156,'Change in Proportion Calc'!$A$5:$P$316,13,FALSE)</f>
        <v>9233</v>
      </c>
      <c r="G156" s="90">
        <f>VLOOKUP(A156,'Change in Proportion Calc'!$A$5:$P$316,16,FALSE)</f>
        <v>9047</v>
      </c>
      <c r="H156" s="255"/>
      <c r="I156" s="280">
        <v>34262</v>
      </c>
      <c r="J156" s="280">
        <v>34262</v>
      </c>
      <c r="K156" s="280">
        <v>34262</v>
      </c>
      <c r="L156" s="280">
        <v>34262</v>
      </c>
      <c r="M156" s="281">
        <v>33575</v>
      </c>
      <c r="N156" s="65"/>
      <c r="O156" s="154">
        <v>7664</v>
      </c>
      <c r="P156" s="154">
        <v>7664</v>
      </c>
      <c r="Q156" s="154">
        <v>7664</v>
      </c>
      <c r="R156" s="155">
        <v>4907</v>
      </c>
      <c r="T156" s="197">
        <v>-38514</v>
      </c>
      <c r="U156" s="197">
        <v>-38514</v>
      </c>
      <c r="V156" s="197">
        <v>-27728</v>
      </c>
      <c r="X156" s="281">
        <f>VLOOKUP(A156,'Change in Proportion Calc'!$A$5:$H$316,8,FALSE)+I156+O156+T156</f>
        <v>12645</v>
      </c>
      <c r="Z156" s="280">
        <f t="shared" si="6"/>
        <v>202575</v>
      </c>
      <c r="AA156" s="280">
        <f t="shared" si="7"/>
        <v>66242</v>
      </c>
      <c r="AC156" s="280">
        <f>VLOOKUP(A156,'OPEB Amounts_Report'!$A$10:$F$321,6,FALSE)</f>
        <v>202575</v>
      </c>
      <c r="AD156" s="281">
        <f t="shared" si="8"/>
        <v>0</v>
      </c>
    </row>
    <row r="157" spans="1:30">
      <c r="A157" s="127">
        <v>3200</v>
      </c>
      <c r="B157" s="128" t="s">
        <v>149</v>
      </c>
      <c r="C157" s="90">
        <f>VLOOKUP(A157,'Change in Proportion Calc'!$A$5:$P$316,12,FALSE)</f>
        <v>-16036</v>
      </c>
      <c r="D157" s="90">
        <f>VLOOKUP(A157,'Change in Proportion Calc'!$A$5:$P$316,13,FALSE)</f>
        <v>-16036</v>
      </c>
      <c r="E157" s="90">
        <f>VLOOKUP(A157,'Change in Proportion Calc'!$A$5:$P$316,13,FALSE)</f>
        <v>-16036</v>
      </c>
      <c r="F157" s="90">
        <f>VLOOKUP(A157,'Change in Proportion Calc'!$A$5:$P$316,13,FALSE)</f>
        <v>-16036</v>
      </c>
      <c r="G157" s="90">
        <f>VLOOKUP(A157,'Change in Proportion Calc'!$A$5:$P$316,16,FALSE)</f>
        <v>-15715</v>
      </c>
      <c r="H157" s="255"/>
      <c r="I157" s="280">
        <v>-137391</v>
      </c>
      <c r="J157" s="280">
        <v>-137391</v>
      </c>
      <c r="K157" s="280">
        <v>-137391</v>
      </c>
      <c r="L157" s="280">
        <v>-137391</v>
      </c>
      <c r="M157" s="281">
        <v>-134641</v>
      </c>
      <c r="N157" s="65"/>
      <c r="O157" s="154">
        <v>-47636</v>
      </c>
      <c r="P157" s="154">
        <v>-47636</v>
      </c>
      <c r="Q157" s="154">
        <v>-47636</v>
      </c>
      <c r="R157" s="155">
        <v>-30489</v>
      </c>
      <c r="T157" s="197">
        <v>-252089</v>
      </c>
      <c r="U157" s="197">
        <v>-252089</v>
      </c>
      <c r="V157" s="197">
        <v>-181503</v>
      </c>
      <c r="X157" s="281">
        <f>VLOOKUP(A157,'Change in Proportion Calc'!$A$5:$H$316,8,FALSE)+I157+O157+T157</f>
        <v>-453152</v>
      </c>
      <c r="Z157" s="280">
        <f t="shared" si="6"/>
        <v>0</v>
      </c>
      <c r="AA157" s="280">
        <f t="shared" si="7"/>
        <v>1186026</v>
      </c>
      <c r="AC157" s="280">
        <f>VLOOKUP(A157,'OPEB Amounts_Report'!$A$10:$F$321,6,FALSE)</f>
        <v>0</v>
      </c>
      <c r="AD157" s="281">
        <f t="shared" si="8"/>
        <v>0</v>
      </c>
    </row>
    <row r="158" spans="1:30">
      <c r="A158" s="62">
        <v>2365</v>
      </c>
      <c r="B158" s="66" t="s">
        <v>150</v>
      </c>
      <c r="C158" s="90">
        <f>VLOOKUP(A158,'Change in Proportion Calc'!$A$5:$P$316,12,FALSE)</f>
        <v>-24945</v>
      </c>
      <c r="D158" s="90">
        <f>VLOOKUP(A158,'Change in Proportion Calc'!$A$5:$P$316,13,FALSE)</f>
        <v>-24945</v>
      </c>
      <c r="E158" s="90">
        <f>VLOOKUP(A158,'Change in Proportion Calc'!$A$5:$P$316,13,FALSE)</f>
        <v>-24945</v>
      </c>
      <c r="F158" s="90">
        <f>VLOOKUP(A158,'Change in Proportion Calc'!$A$5:$P$316,13,FALSE)</f>
        <v>-24945</v>
      </c>
      <c r="G158" s="90">
        <f>VLOOKUP(A158,'Change in Proportion Calc'!$A$5:$P$316,16,FALSE)</f>
        <v>-24445</v>
      </c>
      <c r="H158" s="255"/>
      <c r="I158" s="280">
        <v>-13310</v>
      </c>
      <c r="J158" s="280">
        <v>-13310</v>
      </c>
      <c r="K158" s="280">
        <v>-13310</v>
      </c>
      <c r="L158" s="280">
        <v>-13310</v>
      </c>
      <c r="M158" s="281">
        <v>-13042</v>
      </c>
      <c r="N158" s="65"/>
      <c r="O158" s="154">
        <v>37741</v>
      </c>
      <c r="P158" s="154">
        <v>37741</v>
      </c>
      <c r="Q158" s="154">
        <v>37741</v>
      </c>
      <c r="R158" s="155">
        <v>24152</v>
      </c>
      <c r="T158" s="197">
        <v>5252</v>
      </c>
      <c r="U158" s="197">
        <v>5252</v>
      </c>
      <c r="V158" s="197">
        <v>3781</v>
      </c>
      <c r="X158" s="281">
        <f>VLOOKUP(A158,'Change in Proportion Calc'!$A$5:$H$316,8,FALSE)+I158+O158+T158</f>
        <v>4738</v>
      </c>
      <c r="Z158" s="280">
        <f t="shared" si="6"/>
        <v>108667</v>
      </c>
      <c r="AA158" s="280">
        <f t="shared" si="7"/>
        <v>177197</v>
      </c>
      <c r="AC158" s="280">
        <f>VLOOKUP(A158,'OPEB Amounts_Report'!$A$10:$F$321,6,FALSE)</f>
        <v>108667</v>
      </c>
      <c r="AD158" s="281">
        <f t="shared" si="8"/>
        <v>0</v>
      </c>
    </row>
    <row r="159" spans="1:30">
      <c r="A159" s="64">
        <v>5014</v>
      </c>
      <c r="B159" s="65" t="s">
        <v>151</v>
      </c>
      <c r="C159" s="90">
        <f>VLOOKUP(A159,'Change in Proportion Calc'!$A$5:$P$316,12,FALSE)</f>
        <v>-6641</v>
      </c>
      <c r="D159" s="90">
        <f>VLOOKUP(A159,'Change in Proportion Calc'!$A$5:$P$316,13,FALSE)</f>
        <v>-6641</v>
      </c>
      <c r="E159" s="90">
        <f>VLOOKUP(A159,'Change in Proportion Calc'!$A$5:$P$316,13,FALSE)</f>
        <v>-6641</v>
      </c>
      <c r="F159" s="90">
        <f>VLOOKUP(A159,'Change in Proportion Calc'!$A$5:$P$316,13,FALSE)</f>
        <v>-6641</v>
      </c>
      <c r="G159" s="90">
        <f>VLOOKUP(A159,'Change in Proportion Calc'!$A$5:$P$316,16,FALSE)</f>
        <v>-6509</v>
      </c>
      <c r="H159" s="255"/>
      <c r="I159" s="280">
        <v>7728</v>
      </c>
      <c r="J159" s="280">
        <v>7728</v>
      </c>
      <c r="K159" s="280">
        <v>7728</v>
      </c>
      <c r="L159" s="280">
        <v>7728</v>
      </c>
      <c r="M159" s="281">
        <v>7575</v>
      </c>
      <c r="N159" s="65"/>
      <c r="O159" s="154">
        <v>-1649</v>
      </c>
      <c r="P159" s="154">
        <v>-1649</v>
      </c>
      <c r="Q159" s="154">
        <v>-1649</v>
      </c>
      <c r="R159" s="155">
        <v>-1057</v>
      </c>
      <c r="T159" s="197">
        <v>9920</v>
      </c>
      <c r="U159" s="197">
        <v>9920</v>
      </c>
      <c r="V159" s="197">
        <v>7143</v>
      </c>
      <c r="X159" s="281">
        <f>VLOOKUP(A159,'Change in Proportion Calc'!$A$5:$H$316,8,FALSE)+I159+O159+T159</f>
        <v>9358</v>
      </c>
      <c r="Z159" s="280">
        <f t="shared" si="6"/>
        <v>47822</v>
      </c>
      <c r="AA159" s="280">
        <f t="shared" si="7"/>
        <v>37428</v>
      </c>
      <c r="AC159" s="280">
        <f>VLOOKUP(A159,'OPEB Amounts_Report'!$A$10:$F$321,6,FALSE)</f>
        <v>47822</v>
      </c>
      <c r="AD159" s="281">
        <f t="shared" si="8"/>
        <v>0</v>
      </c>
    </row>
    <row r="160" spans="1:30">
      <c r="A160" s="62">
        <v>17127</v>
      </c>
      <c r="B160" s="66" t="s">
        <v>152</v>
      </c>
      <c r="C160" s="90">
        <f>VLOOKUP(A160,'Change in Proportion Calc'!$A$5:$P$316,12,FALSE)</f>
        <v>-35716</v>
      </c>
      <c r="D160" s="90">
        <f>VLOOKUP(A160,'Change in Proportion Calc'!$A$5:$P$316,13,FALSE)</f>
        <v>-35716</v>
      </c>
      <c r="E160" s="90">
        <f>VLOOKUP(A160,'Change in Proportion Calc'!$A$5:$P$316,13,FALSE)</f>
        <v>-35716</v>
      </c>
      <c r="F160" s="90">
        <f>VLOOKUP(A160,'Change in Proportion Calc'!$A$5:$P$316,13,FALSE)</f>
        <v>-35716</v>
      </c>
      <c r="G160" s="90">
        <f>VLOOKUP(A160,'Change in Proportion Calc'!$A$5:$P$316,16,FALSE)</f>
        <v>-35004</v>
      </c>
      <c r="H160" s="255"/>
      <c r="I160" s="280">
        <v>113777</v>
      </c>
      <c r="J160" s="280">
        <v>113777</v>
      </c>
      <c r="K160" s="280">
        <v>113777</v>
      </c>
      <c r="L160" s="280">
        <v>113777</v>
      </c>
      <c r="M160" s="281">
        <v>111499</v>
      </c>
      <c r="N160" s="65"/>
      <c r="O160" s="154">
        <v>-252056</v>
      </c>
      <c r="P160" s="154">
        <v>-252056</v>
      </c>
      <c r="Q160" s="154">
        <v>-252056</v>
      </c>
      <c r="R160" s="155">
        <v>-161317</v>
      </c>
      <c r="T160" s="197">
        <v>3112</v>
      </c>
      <c r="U160" s="197">
        <v>3112</v>
      </c>
      <c r="V160" s="197">
        <v>2242</v>
      </c>
      <c r="X160" s="281">
        <f>VLOOKUP(A160,'Change in Proportion Calc'!$A$5:$H$316,8,FALSE)+I160+O160+T160</f>
        <v>-170883</v>
      </c>
      <c r="Z160" s="280">
        <f t="shared" si="6"/>
        <v>458184</v>
      </c>
      <c r="AA160" s="280">
        <f t="shared" si="7"/>
        <v>843297</v>
      </c>
      <c r="AC160" s="280">
        <f>VLOOKUP(A160,'OPEB Amounts_Report'!$A$10:$F$321,6,FALSE)</f>
        <v>458184</v>
      </c>
      <c r="AD160" s="281">
        <f t="shared" si="8"/>
        <v>0</v>
      </c>
    </row>
    <row r="161" spans="1:30">
      <c r="A161" s="64">
        <v>10141</v>
      </c>
      <c r="B161" s="65" t="s">
        <v>153</v>
      </c>
      <c r="C161" s="90">
        <f>VLOOKUP(A161,'Change in Proportion Calc'!$A$5:$P$316,12,FALSE)</f>
        <v>-26807</v>
      </c>
      <c r="D161" s="90">
        <f>VLOOKUP(A161,'Change in Proportion Calc'!$A$5:$P$316,13,FALSE)</f>
        <v>-26807</v>
      </c>
      <c r="E161" s="90">
        <f>VLOOKUP(A161,'Change in Proportion Calc'!$A$5:$P$316,13,FALSE)</f>
        <v>-26807</v>
      </c>
      <c r="F161" s="90">
        <f>VLOOKUP(A161,'Change in Proportion Calc'!$A$5:$P$316,13,FALSE)</f>
        <v>-26807</v>
      </c>
      <c r="G161" s="90">
        <f>VLOOKUP(A161,'Change in Proportion Calc'!$A$5:$P$316,16,FALSE)</f>
        <v>-26273</v>
      </c>
      <c r="H161" s="255"/>
      <c r="I161" s="280">
        <v>-55128</v>
      </c>
      <c r="J161" s="280">
        <v>-55128</v>
      </c>
      <c r="K161" s="280">
        <v>-55128</v>
      </c>
      <c r="L161" s="280">
        <v>-55128</v>
      </c>
      <c r="M161" s="281">
        <v>-54025</v>
      </c>
      <c r="N161" s="65"/>
      <c r="O161" s="154">
        <v>-4269</v>
      </c>
      <c r="P161" s="154">
        <v>-4269</v>
      </c>
      <c r="Q161" s="154">
        <v>-4269</v>
      </c>
      <c r="R161" s="155">
        <v>-2731</v>
      </c>
      <c r="T161" s="197">
        <v>3210</v>
      </c>
      <c r="U161" s="197">
        <v>3210</v>
      </c>
      <c r="V161" s="197">
        <v>2309</v>
      </c>
      <c r="X161" s="281">
        <f>VLOOKUP(A161,'Change in Proportion Calc'!$A$5:$H$316,8,FALSE)+I161+O161+T161</f>
        <v>-82995</v>
      </c>
      <c r="Z161" s="280">
        <f t="shared" si="6"/>
        <v>5519</v>
      </c>
      <c r="AA161" s="280">
        <f t="shared" si="7"/>
        <v>364179</v>
      </c>
      <c r="AC161" s="280">
        <f>VLOOKUP(A161,'OPEB Amounts_Report'!$A$10:$F$321,6,FALSE)</f>
        <v>5519</v>
      </c>
      <c r="AD161" s="281">
        <f t="shared" si="8"/>
        <v>0</v>
      </c>
    </row>
    <row r="162" spans="1:30">
      <c r="A162" s="62">
        <v>4570</v>
      </c>
      <c r="B162" s="66" t="s">
        <v>413</v>
      </c>
      <c r="C162" s="90">
        <f>VLOOKUP(A162,'Change in Proportion Calc'!$A$5:$P$316,12,FALSE)</f>
        <v>57016</v>
      </c>
      <c r="D162" s="90">
        <f>VLOOKUP(A162,'Change in Proportion Calc'!$A$5:$P$316,13,FALSE)</f>
        <v>57016</v>
      </c>
      <c r="E162" s="90">
        <f>VLOOKUP(A162,'Change in Proportion Calc'!$A$5:$P$316,13,FALSE)</f>
        <v>57016</v>
      </c>
      <c r="F162" s="90">
        <f>VLOOKUP(A162,'Change in Proportion Calc'!$A$5:$P$316,13,FALSE)</f>
        <v>57016</v>
      </c>
      <c r="G162" s="90">
        <f>VLOOKUP(A162,'Change in Proportion Calc'!$A$5:$P$316,16,FALSE)</f>
        <v>55878</v>
      </c>
      <c r="H162" s="255"/>
      <c r="I162" s="280">
        <v>-50319</v>
      </c>
      <c r="J162" s="280">
        <v>-50319</v>
      </c>
      <c r="K162" s="280">
        <v>-50319</v>
      </c>
      <c r="L162" s="280">
        <v>-50319</v>
      </c>
      <c r="M162" s="281">
        <v>-49314</v>
      </c>
      <c r="N162" s="65"/>
      <c r="O162" s="154">
        <v>1413766</v>
      </c>
      <c r="P162" s="154">
        <v>1413766</v>
      </c>
      <c r="Q162" s="154">
        <v>1413766</v>
      </c>
      <c r="R162" s="155">
        <v>904808</v>
      </c>
      <c r="T162" s="197">
        <v>0</v>
      </c>
      <c r="U162" s="197">
        <v>0</v>
      </c>
      <c r="V162" s="197">
        <v>0</v>
      </c>
      <c r="X162" s="281">
        <f>VLOOKUP(A162,'Change in Proportion Calc'!$A$5:$H$316,8,FALSE)+I162+O162+T162</f>
        <v>1420464</v>
      </c>
      <c r="Z162" s="280">
        <f t="shared" si="6"/>
        <v>4016282</v>
      </c>
      <c r="AA162" s="280">
        <f t="shared" si="7"/>
        <v>200271</v>
      </c>
      <c r="AC162" s="280">
        <f>VLOOKUP(A162,'OPEB Amounts_Report'!$A$10:$F$321,6,FALSE)</f>
        <v>4016282</v>
      </c>
      <c r="AD162" s="281">
        <f t="shared" si="8"/>
        <v>0</v>
      </c>
    </row>
    <row r="163" spans="1:30">
      <c r="A163" s="64">
        <v>13369</v>
      </c>
      <c r="B163" s="65" t="s">
        <v>154</v>
      </c>
      <c r="C163" s="90">
        <f>VLOOKUP(A163,'Change in Proportion Calc'!$A$5:$P$316,12,FALSE)</f>
        <v>-13930</v>
      </c>
      <c r="D163" s="90">
        <f>VLOOKUP(A163,'Change in Proportion Calc'!$A$5:$P$316,13,FALSE)</f>
        <v>-13930</v>
      </c>
      <c r="E163" s="90">
        <f>VLOOKUP(A163,'Change in Proportion Calc'!$A$5:$P$316,13,FALSE)</f>
        <v>-13930</v>
      </c>
      <c r="F163" s="90">
        <f>VLOOKUP(A163,'Change in Proportion Calc'!$A$5:$P$316,13,FALSE)</f>
        <v>-13930</v>
      </c>
      <c r="G163" s="90">
        <f>VLOOKUP(A163,'Change in Proportion Calc'!$A$5:$P$316,16,FALSE)</f>
        <v>-13653</v>
      </c>
      <c r="H163" s="255"/>
      <c r="I163" s="280">
        <v>17689</v>
      </c>
      <c r="J163" s="280">
        <v>17689</v>
      </c>
      <c r="K163" s="280">
        <v>17689</v>
      </c>
      <c r="L163" s="280">
        <v>17689</v>
      </c>
      <c r="M163" s="281">
        <v>17335</v>
      </c>
      <c r="N163" s="65"/>
      <c r="O163" s="154">
        <v>-1746</v>
      </c>
      <c r="P163" s="154">
        <v>-1746</v>
      </c>
      <c r="Q163" s="154">
        <v>-1746</v>
      </c>
      <c r="R163" s="155">
        <v>-1119</v>
      </c>
      <c r="T163" s="197">
        <v>3015</v>
      </c>
      <c r="U163" s="197">
        <v>3015</v>
      </c>
      <c r="V163" s="197">
        <v>2171</v>
      </c>
      <c r="X163" s="281">
        <f>VLOOKUP(A163,'Change in Proportion Calc'!$A$5:$H$316,8,FALSE)+I163+O163+T163</f>
        <v>5028</v>
      </c>
      <c r="Z163" s="280">
        <f t="shared" si="6"/>
        <v>75588</v>
      </c>
      <c r="AA163" s="280">
        <f t="shared" si="7"/>
        <v>73984</v>
      </c>
      <c r="AC163" s="280">
        <f>VLOOKUP(A163,'OPEB Amounts_Report'!$A$10:$F$321,6,FALSE)</f>
        <v>75588</v>
      </c>
      <c r="AD163" s="281">
        <f t="shared" si="8"/>
        <v>0</v>
      </c>
    </row>
    <row r="164" spans="1:30">
      <c r="A164" s="62">
        <v>2425</v>
      </c>
      <c r="B164" s="66" t="s">
        <v>155</v>
      </c>
      <c r="C164" s="90">
        <f>VLOOKUP(A164,'Change in Proportion Calc'!$A$5:$P$316,12,FALSE)</f>
        <v>259895</v>
      </c>
      <c r="D164" s="90">
        <f>VLOOKUP(A164,'Change in Proportion Calc'!$A$5:$P$316,13,FALSE)</f>
        <v>259895</v>
      </c>
      <c r="E164" s="90">
        <f>VLOOKUP(A164,'Change in Proportion Calc'!$A$5:$P$316,13,FALSE)</f>
        <v>259895</v>
      </c>
      <c r="F164" s="90">
        <f>VLOOKUP(A164,'Change in Proportion Calc'!$A$5:$P$316,13,FALSE)</f>
        <v>259895</v>
      </c>
      <c r="G164" s="90">
        <f>VLOOKUP(A164,'Change in Proportion Calc'!$A$5:$P$316,16,FALSE)</f>
        <v>254698</v>
      </c>
      <c r="H164" s="255"/>
      <c r="I164" s="280">
        <v>235625</v>
      </c>
      <c r="J164" s="280">
        <v>235625</v>
      </c>
      <c r="K164" s="280">
        <v>235625</v>
      </c>
      <c r="L164" s="280">
        <v>235625</v>
      </c>
      <c r="M164" s="281">
        <v>230911</v>
      </c>
      <c r="N164" s="65"/>
      <c r="O164" s="154">
        <v>333650</v>
      </c>
      <c r="P164" s="154">
        <v>333650</v>
      </c>
      <c r="Q164" s="154">
        <v>333650</v>
      </c>
      <c r="R164" s="155">
        <v>213534</v>
      </c>
      <c r="T164" s="197">
        <v>-18576</v>
      </c>
      <c r="U164" s="197">
        <v>-18576</v>
      </c>
      <c r="V164" s="197">
        <v>-13375</v>
      </c>
      <c r="X164" s="281">
        <f>VLOOKUP(A164,'Change in Proportion Calc'!$A$5:$H$316,8,FALSE)+I164+O164+T164</f>
        <v>810594</v>
      </c>
      <c r="Z164" s="280">
        <f t="shared" si="6"/>
        <v>3112898</v>
      </c>
      <c r="AA164" s="280">
        <f t="shared" si="7"/>
        <v>31951</v>
      </c>
      <c r="AC164" s="280">
        <f>VLOOKUP(A164,'OPEB Amounts_Report'!$A$10:$F$321,6,FALSE)</f>
        <v>3112898</v>
      </c>
      <c r="AD164" s="281">
        <f t="shared" si="8"/>
        <v>0</v>
      </c>
    </row>
    <row r="165" spans="1:30">
      <c r="A165" s="64">
        <v>1306</v>
      </c>
      <c r="B165" s="65" t="s">
        <v>156</v>
      </c>
      <c r="C165" s="90">
        <f>VLOOKUP(A165,'Change in Proportion Calc'!$A$5:$P$316,12,FALSE)</f>
        <v>17251</v>
      </c>
      <c r="D165" s="90">
        <f>VLOOKUP(A165,'Change in Proportion Calc'!$A$5:$P$316,13,FALSE)</f>
        <v>17251</v>
      </c>
      <c r="E165" s="90">
        <f>VLOOKUP(A165,'Change in Proportion Calc'!$A$5:$P$316,13,FALSE)</f>
        <v>17251</v>
      </c>
      <c r="F165" s="90">
        <f>VLOOKUP(A165,'Change in Proportion Calc'!$A$5:$P$316,13,FALSE)</f>
        <v>17251</v>
      </c>
      <c r="G165" s="90">
        <f>VLOOKUP(A165,'Change in Proportion Calc'!$A$5:$P$316,16,FALSE)</f>
        <v>16905</v>
      </c>
      <c r="H165" s="255"/>
      <c r="I165" s="280">
        <v>13653</v>
      </c>
      <c r="J165" s="280">
        <v>13653</v>
      </c>
      <c r="K165" s="280">
        <v>13653</v>
      </c>
      <c r="L165" s="280">
        <v>13653</v>
      </c>
      <c r="M165" s="281">
        <v>13381</v>
      </c>
      <c r="N165" s="65"/>
      <c r="O165" s="154">
        <v>26874</v>
      </c>
      <c r="P165" s="154">
        <v>26874</v>
      </c>
      <c r="Q165" s="154">
        <v>26874</v>
      </c>
      <c r="R165" s="155">
        <v>17201</v>
      </c>
      <c r="T165" s="197">
        <v>35499</v>
      </c>
      <c r="U165" s="197">
        <v>35499</v>
      </c>
      <c r="V165" s="197">
        <v>25557</v>
      </c>
      <c r="X165" s="281">
        <f>VLOOKUP(A165,'Change in Proportion Calc'!$A$5:$H$316,8,FALSE)+I165+O165+T165</f>
        <v>93277</v>
      </c>
      <c r="Z165" s="280">
        <f t="shared" si="6"/>
        <v>272254</v>
      </c>
      <c r="AA165" s="280">
        <f t="shared" si="7"/>
        <v>0</v>
      </c>
      <c r="AC165" s="280">
        <f>VLOOKUP(A165,'OPEB Amounts_Report'!$A$10:$F$321,6,FALSE)</f>
        <v>272254</v>
      </c>
      <c r="AD165" s="281">
        <f t="shared" si="8"/>
        <v>0</v>
      </c>
    </row>
    <row r="166" spans="1:30">
      <c r="A166" s="62">
        <v>2351</v>
      </c>
      <c r="B166" s="66" t="s">
        <v>157</v>
      </c>
      <c r="C166" s="90">
        <f>VLOOKUP(A166,'Change in Proportion Calc'!$A$5:$P$316,12,FALSE)</f>
        <v>-5102</v>
      </c>
      <c r="D166" s="90">
        <f>VLOOKUP(A166,'Change in Proportion Calc'!$A$5:$P$316,13,FALSE)</f>
        <v>-5102</v>
      </c>
      <c r="E166" s="90">
        <f>VLOOKUP(A166,'Change in Proportion Calc'!$A$5:$P$316,13,FALSE)</f>
        <v>-5102</v>
      </c>
      <c r="F166" s="90">
        <f>VLOOKUP(A166,'Change in Proportion Calc'!$A$5:$P$316,13,FALSE)</f>
        <v>-5102</v>
      </c>
      <c r="G166" s="90">
        <f>VLOOKUP(A166,'Change in Proportion Calc'!$A$5:$P$316,16,FALSE)</f>
        <v>-5002</v>
      </c>
      <c r="H166" s="255"/>
      <c r="I166" s="280">
        <v>24215</v>
      </c>
      <c r="J166" s="280">
        <v>24215</v>
      </c>
      <c r="K166" s="280">
        <v>24215</v>
      </c>
      <c r="L166" s="280">
        <v>24215</v>
      </c>
      <c r="M166" s="281">
        <v>23731</v>
      </c>
      <c r="N166" s="65"/>
      <c r="O166" s="154">
        <v>-582</v>
      </c>
      <c r="P166" s="154">
        <v>-582</v>
      </c>
      <c r="Q166" s="154">
        <v>-582</v>
      </c>
      <c r="R166" s="155">
        <v>-373</v>
      </c>
      <c r="T166" s="197">
        <v>-7781</v>
      </c>
      <c r="U166" s="197">
        <v>-7781</v>
      </c>
      <c r="V166" s="197">
        <v>-5600</v>
      </c>
      <c r="X166" s="281">
        <f>VLOOKUP(A166,'Change in Proportion Calc'!$A$5:$H$316,8,FALSE)+I166+O166+T166</f>
        <v>10750</v>
      </c>
      <c r="Z166" s="280">
        <f t="shared" si="6"/>
        <v>96376</v>
      </c>
      <c r="AA166" s="280">
        <f t="shared" si="7"/>
        <v>40328</v>
      </c>
      <c r="AC166" s="280">
        <f>VLOOKUP(A166,'OPEB Amounts_Report'!$A$10:$F$321,6,FALSE)</f>
        <v>96376</v>
      </c>
      <c r="AD166" s="281">
        <f t="shared" si="8"/>
        <v>0</v>
      </c>
    </row>
    <row r="167" spans="1:30">
      <c r="A167" s="64">
        <v>2334</v>
      </c>
      <c r="B167" s="65" t="s">
        <v>158</v>
      </c>
      <c r="C167" s="90">
        <f>VLOOKUP(A167,'Change in Proportion Calc'!$A$5:$P$316,12,FALSE)</f>
        <v>-8828</v>
      </c>
      <c r="D167" s="90">
        <f>VLOOKUP(A167,'Change in Proportion Calc'!$A$5:$P$316,13,FALSE)</f>
        <v>-8828</v>
      </c>
      <c r="E167" s="90">
        <f>VLOOKUP(A167,'Change in Proportion Calc'!$A$5:$P$316,13,FALSE)</f>
        <v>-8828</v>
      </c>
      <c r="F167" s="90">
        <f>VLOOKUP(A167,'Change in Proportion Calc'!$A$5:$P$316,13,FALSE)</f>
        <v>-8828</v>
      </c>
      <c r="G167" s="90">
        <f>VLOOKUP(A167,'Change in Proportion Calc'!$A$5:$P$316,16,FALSE)</f>
        <v>-8651</v>
      </c>
      <c r="H167" s="255"/>
      <c r="I167" s="280">
        <v>6354</v>
      </c>
      <c r="J167" s="280">
        <v>6354</v>
      </c>
      <c r="K167" s="280">
        <v>6354</v>
      </c>
      <c r="L167" s="280">
        <v>6354</v>
      </c>
      <c r="M167" s="281">
        <v>6229</v>
      </c>
      <c r="N167" s="65"/>
      <c r="O167" s="154">
        <v>18240</v>
      </c>
      <c r="P167" s="154">
        <v>18240</v>
      </c>
      <c r="Q167" s="154">
        <v>18240</v>
      </c>
      <c r="R167" s="155">
        <v>11672</v>
      </c>
      <c r="T167" s="197">
        <v>1459</v>
      </c>
      <c r="U167" s="197">
        <v>1459</v>
      </c>
      <c r="V167" s="197">
        <v>1050</v>
      </c>
      <c r="X167" s="281">
        <f>VLOOKUP(A167,'Change in Proportion Calc'!$A$5:$H$316,8,FALSE)+I167+O167+T167</f>
        <v>17225</v>
      </c>
      <c r="Z167" s="280">
        <f t="shared" si="6"/>
        <v>75952</v>
      </c>
      <c r="AA167" s="280">
        <f t="shared" si="7"/>
        <v>43963</v>
      </c>
      <c r="AC167" s="280">
        <f>VLOOKUP(A167,'OPEB Amounts_Report'!$A$10:$F$321,6,FALSE)</f>
        <v>75952</v>
      </c>
      <c r="AD167" s="281">
        <f t="shared" si="8"/>
        <v>0</v>
      </c>
    </row>
    <row r="168" spans="1:30">
      <c r="A168" s="62">
        <v>30089</v>
      </c>
      <c r="B168" s="66" t="s">
        <v>159</v>
      </c>
      <c r="C168" s="90">
        <f>VLOOKUP(A168,'Change in Proportion Calc'!$A$5:$P$316,12,FALSE)</f>
        <v>-17980</v>
      </c>
      <c r="D168" s="90">
        <f>VLOOKUP(A168,'Change in Proportion Calc'!$A$5:$P$316,13,FALSE)</f>
        <v>-17980</v>
      </c>
      <c r="E168" s="90">
        <f>VLOOKUP(A168,'Change in Proportion Calc'!$A$5:$P$316,13,FALSE)</f>
        <v>-17980</v>
      </c>
      <c r="F168" s="90">
        <f>VLOOKUP(A168,'Change in Proportion Calc'!$A$5:$P$316,13,FALSE)</f>
        <v>-17980</v>
      </c>
      <c r="G168" s="90">
        <f>VLOOKUP(A168,'Change in Proportion Calc'!$A$5:$P$316,16,FALSE)</f>
        <v>-17618</v>
      </c>
      <c r="H168" s="255"/>
      <c r="I168" s="280">
        <v>-47056</v>
      </c>
      <c r="J168" s="280">
        <v>-47056</v>
      </c>
      <c r="K168" s="280">
        <v>-47056</v>
      </c>
      <c r="L168" s="280">
        <v>-47056</v>
      </c>
      <c r="M168" s="281">
        <v>-46116</v>
      </c>
      <c r="N168" s="65"/>
      <c r="O168" s="154">
        <v>26001</v>
      </c>
      <c r="P168" s="154">
        <v>26001</v>
      </c>
      <c r="Q168" s="154">
        <v>26001</v>
      </c>
      <c r="R168" s="155">
        <v>16642</v>
      </c>
      <c r="T168" s="197">
        <v>-7683</v>
      </c>
      <c r="U168" s="197">
        <v>-7683</v>
      </c>
      <c r="V168" s="197">
        <v>-5533</v>
      </c>
      <c r="X168" s="281">
        <f>VLOOKUP(A168,'Change in Proportion Calc'!$A$5:$H$316,8,FALSE)+I168+O168+T168</f>
        <v>-46718</v>
      </c>
      <c r="Z168" s="280">
        <f t="shared" si="6"/>
        <v>68644</v>
      </c>
      <c r="AA168" s="280">
        <f t="shared" si="7"/>
        <v>290038</v>
      </c>
      <c r="AC168" s="280">
        <f>VLOOKUP(A168,'OPEB Amounts_Report'!$A$10:$F$321,6,FALSE)</f>
        <v>68644</v>
      </c>
      <c r="AD168" s="281">
        <f t="shared" si="8"/>
        <v>0</v>
      </c>
    </row>
    <row r="169" spans="1:30">
      <c r="A169" s="64">
        <v>9324</v>
      </c>
      <c r="B169" s="65" t="s">
        <v>160</v>
      </c>
      <c r="C169" s="90">
        <f>VLOOKUP(A169,'Change in Proportion Calc'!$A$5:$P$316,12,FALSE)</f>
        <v>3483</v>
      </c>
      <c r="D169" s="90">
        <f>VLOOKUP(A169,'Change in Proportion Calc'!$A$5:$P$316,13,FALSE)</f>
        <v>3483</v>
      </c>
      <c r="E169" s="90">
        <f>VLOOKUP(A169,'Change in Proportion Calc'!$A$5:$P$316,13,FALSE)</f>
        <v>3483</v>
      </c>
      <c r="F169" s="90">
        <f>VLOOKUP(A169,'Change in Proportion Calc'!$A$5:$P$316,13,FALSE)</f>
        <v>3483</v>
      </c>
      <c r="G169" s="90">
        <f>VLOOKUP(A169,'Change in Proportion Calc'!$A$5:$P$316,16,FALSE)</f>
        <v>3411</v>
      </c>
      <c r="H169" s="255"/>
      <c r="I169" s="280">
        <v>15027</v>
      </c>
      <c r="J169" s="280">
        <v>15027</v>
      </c>
      <c r="K169" s="280">
        <v>15027</v>
      </c>
      <c r="L169" s="280">
        <v>15027</v>
      </c>
      <c r="M169" s="281">
        <v>14727</v>
      </c>
      <c r="N169" s="65"/>
      <c r="O169" s="154">
        <v>9993</v>
      </c>
      <c r="P169" s="154">
        <v>9993</v>
      </c>
      <c r="Q169" s="154">
        <v>9993</v>
      </c>
      <c r="R169" s="155">
        <v>6395</v>
      </c>
      <c r="T169" s="197">
        <v>-10796</v>
      </c>
      <c r="U169" s="197">
        <v>-10796</v>
      </c>
      <c r="V169" s="197">
        <v>-7771</v>
      </c>
      <c r="X169" s="281">
        <f>VLOOKUP(A169,'Change in Proportion Calc'!$A$5:$H$316,8,FALSE)+I169+O169+T169</f>
        <v>17707</v>
      </c>
      <c r="Z169" s="280">
        <f t="shared" si="6"/>
        <v>103532</v>
      </c>
      <c r="AA169" s="280">
        <f t="shared" si="7"/>
        <v>18567</v>
      </c>
      <c r="AC169" s="280">
        <f>VLOOKUP(A169,'OPEB Amounts_Report'!$A$10:$F$321,6,FALSE)</f>
        <v>103532</v>
      </c>
      <c r="AD169" s="281">
        <f t="shared" si="8"/>
        <v>0</v>
      </c>
    </row>
    <row r="170" spans="1:30">
      <c r="A170" s="62">
        <v>22066</v>
      </c>
      <c r="B170" s="66" t="s">
        <v>161</v>
      </c>
      <c r="C170" s="90">
        <f>VLOOKUP(A170,'Change in Proportion Calc'!$A$5:$P$316,12,FALSE)</f>
        <v>92490</v>
      </c>
      <c r="D170" s="90">
        <f>VLOOKUP(A170,'Change in Proportion Calc'!$A$5:$P$316,13,FALSE)</f>
        <v>92490</v>
      </c>
      <c r="E170" s="90">
        <f>VLOOKUP(A170,'Change in Proportion Calc'!$A$5:$P$316,13,FALSE)</f>
        <v>92490</v>
      </c>
      <c r="F170" s="90">
        <f>VLOOKUP(A170,'Change in Proportion Calc'!$A$5:$P$316,13,FALSE)</f>
        <v>92490</v>
      </c>
      <c r="G170" s="90">
        <f>VLOOKUP(A170,'Change in Proportion Calc'!$A$5:$P$316,16,FALSE)</f>
        <v>90640</v>
      </c>
      <c r="H170" s="255"/>
      <c r="I170" s="280">
        <v>43879</v>
      </c>
      <c r="J170" s="280">
        <v>43879</v>
      </c>
      <c r="K170" s="280">
        <v>43879</v>
      </c>
      <c r="L170" s="280">
        <v>43879</v>
      </c>
      <c r="M170" s="281">
        <v>43002</v>
      </c>
      <c r="N170" s="65"/>
      <c r="O170" s="154">
        <v>-117394</v>
      </c>
      <c r="P170" s="154">
        <v>-117394</v>
      </c>
      <c r="Q170" s="154">
        <v>-117394</v>
      </c>
      <c r="R170" s="155">
        <v>-75130</v>
      </c>
      <c r="T170" s="197">
        <v>-54269</v>
      </c>
      <c r="U170" s="197">
        <v>-54269</v>
      </c>
      <c r="V170" s="197">
        <v>-39074</v>
      </c>
      <c r="X170" s="281">
        <f>VLOOKUP(A170,'Change in Proportion Calc'!$A$5:$H$316,8,FALSE)+I170+O170+T170</f>
        <v>-35294</v>
      </c>
      <c r="Z170" s="280">
        <f t="shared" si="6"/>
        <v>635239</v>
      </c>
      <c r="AA170" s="280">
        <f t="shared" si="7"/>
        <v>403261</v>
      </c>
      <c r="AC170" s="280">
        <f>VLOOKUP(A170,'OPEB Amounts_Report'!$A$10:$F$321,6,FALSE)</f>
        <v>635239</v>
      </c>
      <c r="AD170" s="281">
        <f t="shared" si="8"/>
        <v>0</v>
      </c>
    </row>
    <row r="171" spans="1:30">
      <c r="A171" s="64">
        <v>16356</v>
      </c>
      <c r="B171" s="65" t="s">
        <v>162</v>
      </c>
      <c r="C171" s="90">
        <f>VLOOKUP(A171,'Change in Proportion Calc'!$A$5:$P$316,12,FALSE)</f>
        <v>11500</v>
      </c>
      <c r="D171" s="90">
        <f>VLOOKUP(A171,'Change in Proportion Calc'!$A$5:$P$316,13,FALSE)</f>
        <v>11500</v>
      </c>
      <c r="E171" s="90">
        <f>VLOOKUP(A171,'Change in Proportion Calc'!$A$5:$P$316,13,FALSE)</f>
        <v>11500</v>
      </c>
      <c r="F171" s="90">
        <f>VLOOKUP(A171,'Change in Proportion Calc'!$A$5:$P$316,13,FALSE)</f>
        <v>11500</v>
      </c>
      <c r="G171" s="90">
        <f>VLOOKUP(A171,'Change in Proportion Calc'!$A$5:$P$316,16,FALSE)</f>
        <v>11272</v>
      </c>
      <c r="H171" s="255"/>
      <c r="I171" s="280">
        <v>6698</v>
      </c>
      <c r="J171" s="280">
        <v>6698</v>
      </c>
      <c r="K171" s="280">
        <v>6698</v>
      </c>
      <c r="L171" s="280">
        <v>6698</v>
      </c>
      <c r="M171" s="281">
        <v>6563</v>
      </c>
      <c r="N171" s="65"/>
      <c r="O171" s="154">
        <v>-12128</v>
      </c>
      <c r="P171" s="154">
        <v>-12128</v>
      </c>
      <c r="Q171" s="154">
        <v>-12128</v>
      </c>
      <c r="R171" s="155">
        <v>-7760</v>
      </c>
      <c r="T171" s="197">
        <v>7878</v>
      </c>
      <c r="U171" s="197">
        <v>7878</v>
      </c>
      <c r="V171" s="197">
        <v>5671</v>
      </c>
      <c r="X171" s="281">
        <f>VLOOKUP(A171,'Change in Proportion Calc'!$A$5:$H$316,8,FALSE)+I171+O171+T171</f>
        <v>13949</v>
      </c>
      <c r="Z171" s="280">
        <f t="shared" si="6"/>
        <v>97478</v>
      </c>
      <c r="AA171" s="280">
        <f t="shared" si="7"/>
        <v>32016</v>
      </c>
      <c r="AC171" s="280">
        <f>VLOOKUP(A171,'OPEB Amounts_Report'!$A$10:$F$321,6,FALSE)</f>
        <v>97478</v>
      </c>
      <c r="AD171" s="281">
        <f t="shared" si="8"/>
        <v>0</v>
      </c>
    </row>
    <row r="172" spans="1:30">
      <c r="A172" s="62">
        <v>31091</v>
      </c>
      <c r="B172" s="66" t="s">
        <v>163</v>
      </c>
      <c r="C172" s="90">
        <f>VLOOKUP(A172,'Change in Proportion Calc'!$A$5:$P$316,12,FALSE)</f>
        <v>32153</v>
      </c>
      <c r="D172" s="90">
        <f>VLOOKUP(A172,'Change in Proportion Calc'!$A$5:$P$316,13,FALSE)</f>
        <v>32153</v>
      </c>
      <c r="E172" s="90">
        <f>VLOOKUP(A172,'Change in Proportion Calc'!$A$5:$P$316,13,FALSE)</f>
        <v>32153</v>
      </c>
      <c r="F172" s="90">
        <f>VLOOKUP(A172,'Change in Proportion Calc'!$A$5:$P$316,13,FALSE)</f>
        <v>32153</v>
      </c>
      <c r="G172" s="90">
        <f>VLOOKUP(A172,'Change in Proportion Calc'!$A$5:$P$316,16,FALSE)</f>
        <v>31509</v>
      </c>
      <c r="H172" s="255"/>
      <c r="I172" s="280">
        <v>-12451</v>
      </c>
      <c r="J172" s="280">
        <v>-12451</v>
      </c>
      <c r="K172" s="280">
        <v>-12451</v>
      </c>
      <c r="L172" s="280">
        <v>-12451</v>
      </c>
      <c r="M172" s="281">
        <v>-12202</v>
      </c>
      <c r="N172" s="65"/>
      <c r="O172" s="154">
        <v>12709</v>
      </c>
      <c r="P172" s="154">
        <v>12709</v>
      </c>
      <c r="Q172" s="154">
        <v>12709</v>
      </c>
      <c r="R172" s="155">
        <v>8136</v>
      </c>
      <c r="T172" s="197">
        <v>-19451</v>
      </c>
      <c r="U172" s="197">
        <v>-19451</v>
      </c>
      <c r="V172" s="197">
        <v>-14006</v>
      </c>
      <c r="X172" s="281">
        <f>VLOOKUP(A172,'Change in Proportion Calc'!$A$5:$H$316,8,FALSE)+I172+O172+T172</f>
        <v>12960</v>
      </c>
      <c r="Z172" s="280">
        <f t="shared" si="6"/>
        <v>193675</v>
      </c>
      <c r="AA172" s="280">
        <f t="shared" si="7"/>
        <v>83012</v>
      </c>
      <c r="AC172" s="280">
        <f>VLOOKUP(A172,'OPEB Amounts_Report'!$A$10:$F$321,6,FALSE)</f>
        <v>193675</v>
      </c>
      <c r="AD172" s="281">
        <f t="shared" si="8"/>
        <v>0</v>
      </c>
    </row>
    <row r="173" spans="1:30">
      <c r="A173" s="64">
        <v>2342</v>
      </c>
      <c r="B173" s="65" t="s">
        <v>164</v>
      </c>
      <c r="C173" s="90">
        <f>VLOOKUP(A173,'Change in Proportion Calc'!$A$5:$P$316,12,FALSE)</f>
        <v>35797</v>
      </c>
      <c r="D173" s="90">
        <f>VLOOKUP(A173,'Change in Proportion Calc'!$A$5:$P$316,13,FALSE)</f>
        <v>35797</v>
      </c>
      <c r="E173" s="90">
        <f>VLOOKUP(A173,'Change in Proportion Calc'!$A$5:$P$316,13,FALSE)</f>
        <v>35797</v>
      </c>
      <c r="F173" s="90">
        <f>VLOOKUP(A173,'Change in Proportion Calc'!$A$5:$P$316,13,FALSE)</f>
        <v>35797</v>
      </c>
      <c r="G173" s="90">
        <f>VLOOKUP(A173,'Change in Proportion Calc'!$A$5:$P$316,16,FALSE)</f>
        <v>35083</v>
      </c>
      <c r="H173" s="255"/>
      <c r="I173" s="280">
        <v>9102</v>
      </c>
      <c r="J173" s="280">
        <v>9102</v>
      </c>
      <c r="K173" s="280">
        <v>9102</v>
      </c>
      <c r="L173" s="280">
        <v>9102</v>
      </c>
      <c r="M173" s="281">
        <v>8921</v>
      </c>
      <c r="N173" s="65"/>
      <c r="O173" s="154">
        <v>1261</v>
      </c>
      <c r="P173" s="154">
        <v>1261</v>
      </c>
      <c r="Q173" s="154">
        <v>1261</v>
      </c>
      <c r="R173" s="155">
        <v>808</v>
      </c>
      <c r="T173" s="197">
        <v>1264</v>
      </c>
      <c r="U173" s="197">
        <v>1264</v>
      </c>
      <c r="V173" s="197">
        <v>912</v>
      </c>
      <c r="X173" s="281">
        <f>VLOOKUP(A173,'Change in Proportion Calc'!$A$5:$H$316,8,FALSE)+I173+O173+T173</f>
        <v>47424</v>
      </c>
      <c r="Z173" s="280">
        <f t="shared" si="6"/>
        <v>220004</v>
      </c>
      <c r="AA173" s="280">
        <f t="shared" si="7"/>
        <v>0</v>
      </c>
      <c r="AC173" s="280">
        <f>VLOOKUP(A173,'OPEB Amounts_Report'!$A$10:$F$321,6,FALSE)</f>
        <v>220004</v>
      </c>
      <c r="AD173" s="281">
        <f t="shared" si="8"/>
        <v>0</v>
      </c>
    </row>
    <row r="174" spans="1:30">
      <c r="A174" s="62">
        <v>22067</v>
      </c>
      <c r="B174" s="66" t="s">
        <v>165</v>
      </c>
      <c r="C174" s="90">
        <f>VLOOKUP(A174,'Change in Proportion Calc'!$A$5:$P$316,12,FALSE)</f>
        <v>-45273</v>
      </c>
      <c r="D174" s="90">
        <f>VLOOKUP(A174,'Change in Proportion Calc'!$A$5:$P$316,13,FALSE)</f>
        <v>-45273</v>
      </c>
      <c r="E174" s="90">
        <f>VLOOKUP(A174,'Change in Proportion Calc'!$A$5:$P$316,13,FALSE)</f>
        <v>-45273</v>
      </c>
      <c r="F174" s="90">
        <f>VLOOKUP(A174,'Change in Proportion Calc'!$A$5:$P$316,13,FALSE)</f>
        <v>-45273</v>
      </c>
      <c r="G174" s="90">
        <f>VLOOKUP(A174,'Change in Proportion Calc'!$A$5:$P$316,16,FALSE)</f>
        <v>-44368</v>
      </c>
      <c r="H174" s="255"/>
      <c r="I174" s="280">
        <v>94198</v>
      </c>
      <c r="J174" s="280">
        <v>94198</v>
      </c>
      <c r="K174" s="280">
        <v>94198</v>
      </c>
      <c r="L174" s="280">
        <v>94198</v>
      </c>
      <c r="M174" s="281">
        <v>92316</v>
      </c>
      <c r="N174" s="65"/>
      <c r="O174" s="154">
        <v>-48025</v>
      </c>
      <c r="P174" s="154">
        <v>-48025</v>
      </c>
      <c r="Q174" s="154">
        <v>-48025</v>
      </c>
      <c r="R174" s="155">
        <v>-30734</v>
      </c>
      <c r="T174" s="197">
        <v>14880</v>
      </c>
      <c r="U174" s="197">
        <v>14880</v>
      </c>
      <c r="V174" s="197">
        <v>10715</v>
      </c>
      <c r="X174" s="281">
        <f>VLOOKUP(A174,'Change in Proportion Calc'!$A$5:$H$316,8,FALSE)+I174+O174+T174</f>
        <v>15780</v>
      </c>
      <c r="Z174" s="280">
        <f t="shared" si="6"/>
        <v>400505</v>
      </c>
      <c r="AA174" s="280">
        <f t="shared" si="7"/>
        <v>352244</v>
      </c>
      <c r="AC174" s="280">
        <f>VLOOKUP(A174,'OPEB Amounts_Report'!$A$10:$F$321,6,FALSE)</f>
        <v>400505</v>
      </c>
      <c r="AD174" s="281">
        <f t="shared" si="8"/>
        <v>0</v>
      </c>
    </row>
    <row r="175" spans="1:30">
      <c r="A175" s="64">
        <v>32112</v>
      </c>
      <c r="B175" s="65" t="s">
        <v>166</v>
      </c>
      <c r="C175" s="90">
        <f>VLOOKUP(A175,'Change in Proportion Calc'!$A$5:$P$316,12,FALSE)</f>
        <v>10286</v>
      </c>
      <c r="D175" s="90">
        <f>VLOOKUP(A175,'Change in Proportion Calc'!$A$5:$P$316,13,FALSE)</f>
        <v>10286</v>
      </c>
      <c r="E175" s="90">
        <f>VLOOKUP(A175,'Change in Proportion Calc'!$A$5:$P$316,13,FALSE)</f>
        <v>10286</v>
      </c>
      <c r="F175" s="90">
        <f>VLOOKUP(A175,'Change in Proportion Calc'!$A$5:$P$316,13,FALSE)</f>
        <v>10286</v>
      </c>
      <c r="G175" s="90">
        <f>VLOOKUP(A175,'Change in Proportion Calc'!$A$5:$P$316,16,FALSE)</f>
        <v>10078</v>
      </c>
      <c r="H175" s="255"/>
      <c r="I175" s="280">
        <v>-10047</v>
      </c>
      <c r="J175" s="280">
        <v>-10047</v>
      </c>
      <c r="K175" s="280">
        <v>-10047</v>
      </c>
      <c r="L175" s="280">
        <v>-10047</v>
      </c>
      <c r="M175" s="281">
        <v>-9844</v>
      </c>
      <c r="N175" s="65"/>
      <c r="O175" s="154">
        <v>-3687</v>
      </c>
      <c r="P175" s="154">
        <v>-3687</v>
      </c>
      <c r="Q175" s="154">
        <v>-3687</v>
      </c>
      <c r="R175" s="155">
        <v>-2358</v>
      </c>
      <c r="T175" s="197">
        <v>-14783</v>
      </c>
      <c r="U175" s="197">
        <v>-14783</v>
      </c>
      <c r="V175" s="197">
        <v>-10644</v>
      </c>
      <c r="X175" s="281">
        <f>VLOOKUP(A175,'Change in Proportion Calc'!$A$5:$H$316,8,FALSE)+I175+O175+T175</f>
        <v>-18231</v>
      </c>
      <c r="Z175" s="280">
        <f t="shared" si="6"/>
        <v>51222</v>
      </c>
      <c r="AA175" s="280">
        <f t="shared" si="7"/>
        <v>75144</v>
      </c>
      <c r="AC175" s="280">
        <f>VLOOKUP(A175,'OPEB Amounts_Report'!$A$10:$F$321,6,FALSE)</f>
        <v>51222</v>
      </c>
      <c r="AD175" s="281">
        <f t="shared" si="8"/>
        <v>0</v>
      </c>
    </row>
    <row r="176" spans="1:30">
      <c r="A176" s="62">
        <v>2354</v>
      </c>
      <c r="B176" s="66" t="s">
        <v>167</v>
      </c>
      <c r="C176" s="90">
        <f>VLOOKUP(A176,'Change in Proportion Calc'!$A$5:$P$316,12,FALSE)</f>
        <v>-2187</v>
      </c>
      <c r="D176" s="90">
        <f>VLOOKUP(A176,'Change in Proportion Calc'!$A$5:$P$316,13,FALSE)</f>
        <v>-2187</v>
      </c>
      <c r="E176" s="90">
        <f>VLOOKUP(A176,'Change in Proportion Calc'!$A$5:$P$316,13,FALSE)</f>
        <v>-2187</v>
      </c>
      <c r="F176" s="90">
        <f>VLOOKUP(A176,'Change in Proportion Calc'!$A$5:$P$316,13,FALSE)</f>
        <v>-2187</v>
      </c>
      <c r="G176" s="90">
        <f>VLOOKUP(A176,'Change in Proportion Calc'!$A$5:$P$316,16,FALSE)</f>
        <v>-2142</v>
      </c>
      <c r="H176" s="255"/>
      <c r="I176" s="280">
        <v>-5324</v>
      </c>
      <c r="J176" s="280">
        <v>-5324</v>
      </c>
      <c r="K176" s="280">
        <v>-5324</v>
      </c>
      <c r="L176" s="280">
        <v>-5324</v>
      </c>
      <c r="M176" s="281">
        <v>-5217</v>
      </c>
      <c r="N176" s="65"/>
      <c r="O176" s="154">
        <v>10575</v>
      </c>
      <c r="P176" s="154">
        <v>10575</v>
      </c>
      <c r="Q176" s="154">
        <v>10575</v>
      </c>
      <c r="R176" s="155">
        <v>6769</v>
      </c>
      <c r="T176" s="197">
        <v>31608</v>
      </c>
      <c r="U176" s="197">
        <v>31608</v>
      </c>
      <c r="V176" s="197">
        <v>22760</v>
      </c>
      <c r="X176" s="281">
        <f>VLOOKUP(A176,'Change in Proportion Calc'!$A$5:$H$316,8,FALSE)+I176+O176+T176</f>
        <v>34672</v>
      </c>
      <c r="Z176" s="280">
        <f t="shared" si="6"/>
        <v>82287</v>
      </c>
      <c r="AA176" s="280">
        <f t="shared" si="7"/>
        <v>32079</v>
      </c>
      <c r="AC176" s="280">
        <f>VLOOKUP(A176,'OPEB Amounts_Report'!$A$10:$F$321,6,FALSE)</f>
        <v>82287</v>
      </c>
      <c r="AD176" s="281">
        <f t="shared" si="8"/>
        <v>0</v>
      </c>
    </row>
    <row r="177" spans="1:30">
      <c r="A177" s="64">
        <v>2148</v>
      </c>
      <c r="B177" s="65" t="s">
        <v>168</v>
      </c>
      <c r="C177" s="90">
        <f>VLOOKUP(A177,'Change in Proportion Calc'!$A$5:$P$316,12,FALSE)</f>
        <v>-162</v>
      </c>
      <c r="D177" s="90">
        <f>VLOOKUP(A177,'Change in Proportion Calc'!$A$5:$P$316,13,FALSE)</f>
        <v>-162</v>
      </c>
      <c r="E177" s="90">
        <f>VLOOKUP(A177,'Change in Proportion Calc'!$A$5:$P$316,13,FALSE)</f>
        <v>-162</v>
      </c>
      <c r="F177" s="90">
        <f>VLOOKUP(A177,'Change in Proportion Calc'!$A$5:$P$316,13,FALSE)</f>
        <v>-162</v>
      </c>
      <c r="G177" s="90">
        <f>VLOOKUP(A177,'Change in Proportion Calc'!$A$5:$P$316,16,FALSE)</f>
        <v>-159</v>
      </c>
      <c r="H177" s="255"/>
      <c r="I177" s="280">
        <v>-10562</v>
      </c>
      <c r="J177" s="280">
        <v>-10562</v>
      </c>
      <c r="K177" s="280">
        <v>-10562</v>
      </c>
      <c r="L177" s="280">
        <v>-10562</v>
      </c>
      <c r="M177" s="281">
        <v>-10350</v>
      </c>
      <c r="N177" s="65"/>
      <c r="O177" s="154">
        <v>5918</v>
      </c>
      <c r="P177" s="154">
        <v>5918</v>
      </c>
      <c r="Q177" s="154">
        <v>5918</v>
      </c>
      <c r="R177" s="155">
        <v>3789</v>
      </c>
      <c r="T177" s="197">
        <v>-8364</v>
      </c>
      <c r="U177" s="197">
        <v>-8364</v>
      </c>
      <c r="V177" s="197">
        <v>-6022</v>
      </c>
      <c r="X177" s="281">
        <f>VLOOKUP(A177,'Change in Proportion Calc'!$A$5:$H$316,8,FALSE)+I177+O177+T177</f>
        <v>-13170</v>
      </c>
      <c r="Z177" s="280">
        <f t="shared" si="6"/>
        <v>15625</v>
      </c>
      <c r="AA177" s="280">
        <f t="shared" si="7"/>
        <v>57229</v>
      </c>
      <c r="AC177" s="280">
        <f>VLOOKUP(A177,'OPEB Amounts_Report'!$A$10:$F$321,6,FALSE)</f>
        <v>15625</v>
      </c>
      <c r="AD177" s="281">
        <f t="shared" si="8"/>
        <v>0</v>
      </c>
    </row>
    <row r="178" spans="1:30">
      <c r="A178" s="62">
        <v>1418</v>
      </c>
      <c r="B178" s="66" t="s">
        <v>169</v>
      </c>
      <c r="C178" s="90">
        <f>VLOOKUP(A178,'Change in Proportion Calc'!$A$5:$P$316,12,FALSE)</f>
        <v>210087</v>
      </c>
      <c r="D178" s="90">
        <f>VLOOKUP(A178,'Change in Proportion Calc'!$A$5:$P$316,13,FALSE)</f>
        <v>210087</v>
      </c>
      <c r="E178" s="90">
        <f>VLOOKUP(A178,'Change in Proportion Calc'!$A$5:$P$316,13,FALSE)</f>
        <v>210087</v>
      </c>
      <c r="F178" s="90">
        <f>VLOOKUP(A178,'Change in Proportion Calc'!$A$5:$P$316,13,FALSE)</f>
        <v>210087</v>
      </c>
      <c r="G178" s="90">
        <f>VLOOKUP(A178,'Change in Proportion Calc'!$A$5:$P$316,16,FALSE)</f>
        <v>205883</v>
      </c>
      <c r="H178" s="255"/>
      <c r="I178" s="280">
        <v>115666</v>
      </c>
      <c r="J178" s="280">
        <v>115666</v>
      </c>
      <c r="K178" s="280">
        <v>115666</v>
      </c>
      <c r="L178" s="280">
        <v>115666</v>
      </c>
      <c r="M178" s="281">
        <v>113351</v>
      </c>
      <c r="N178" s="65"/>
      <c r="O178" s="154">
        <v>-214510</v>
      </c>
      <c r="P178" s="154">
        <v>-214510</v>
      </c>
      <c r="Q178" s="154">
        <v>-214510</v>
      </c>
      <c r="R178" s="155">
        <v>-137285</v>
      </c>
      <c r="T178" s="197">
        <v>119139</v>
      </c>
      <c r="U178" s="197">
        <v>119139</v>
      </c>
      <c r="V178" s="197">
        <v>85781</v>
      </c>
      <c r="X178" s="281">
        <f>VLOOKUP(A178,'Change in Proportion Calc'!$A$5:$H$316,8,FALSE)+I178+O178+T178</f>
        <v>230382</v>
      </c>
      <c r="Z178" s="280">
        <f t="shared" si="6"/>
        <v>1711500</v>
      </c>
      <c r="AA178" s="280">
        <f t="shared" si="7"/>
        <v>566305</v>
      </c>
      <c r="AC178" s="280">
        <f>VLOOKUP(A178,'OPEB Amounts_Report'!$A$10:$F$321,6,FALSE)</f>
        <v>1711500</v>
      </c>
      <c r="AD178" s="281">
        <f t="shared" si="8"/>
        <v>0</v>
      </c>
    </row>
    <row r="179" spans="1:30">
      <c r="A179" s="64">
        <v>12102</v>
      </c>
      <c r="B179" s="65" t="s">
        <v>170</v>
      </c>
      <c r="C179" s="90">
        <f>VLOOKUP(A179,'Change in Proportion Calc'!$A$5:$P$316,12,FALSE)</f>
        <v>304763</v>
      </c>
      <c r="D179" s="90">
        <f>VLOOKUP(A179,'Change in Proportion Calc'!$A$5:$P$316,13,FALSE)</f>
        <v>304763</v>
      </c>
      <c r="E179" s="90">
        <f>VLOOKUP(A179,'Change in Proportion Calc'!$A$5:$P$316,13,FALSE)</f>
        <v>304763</v>
      </c>
      <c r="F179" s="90">
        <f>VLOOKUP(A179,'Change in Proportion Calc'!$A$5:$P$316,13,FALSE)</f>
        <v>304763</v>
      </c>
      <c r="G179" s="90">
        <f>VLOOKUP(A179,'Change in Proportion Calc'!$A$5:$P$316,16,FALSE)</f>
        <v>298670</v>
      </c>
      <c r="H179" s="255"/>
      <c r="I179" s="280">
        <v>-304921</v>
      </c>
      <c r="J179" s="280">
        <v>-304921</v>
      </c>
      <c r="K179" s="280">
        <v>-304921</v>
      </c>
      <c r="L179" s="280">
        <v>-304921</v>
      </c>
      <c r="M179" s="281">
        <v>-298823</v>
      </c>
      <c r="N179" s="65"/>
      <c r="O179" s="154">
        <v>-130394</v>
      </c>
      <c r="P179" s="154">
        <v>-130394</v>
      </c>
      <c r="Q179" s="154">
        <v>-130394</v>
      </c>
      <c r="R179" s="155">
        <v>-83452</v>
      </c>
      <c r="T179" s="197">
        <v>-290116</v>
      </c>
      <c r="U179" s="197">
        <v>-290116</v>
      </c>
      <c r="V179" s="197">
        <v>-208884</v>
      </c>
      <c r="X179" s="281">
        <f>VLOOKUP(A179,'Change in Proportion Calc'!$A$5:$H$316,8,FALSE)+I179+O179+T179</f>
        <v>-420668</v>
      </c>
      <c r="Z179" s="280">
        <f t="shared" si="6"/>
        <v>1517722</v>
      </c>
      <c r="AA179" s="280">
        <f t="shared" si="7"/>
        <v>2056826</v>
      </c>
      <c r="AC179" s="280">
        <f>VLOOKUP(A179,'OPEB Amounts_Report'!$A$10:$F$321,6,FALSE)</f>
        <v>1517722</v>
      </c>
      <c r="AD179" s="281">
        <f t="shared" si="8"/>
        <v>0</v>
      </c>
    </row>
    <row r="180" spans="1:30">
      <c r="A180" s="62">
        <v>2414</v>
      </c>
      <c r="B180" s="66" t="s">
        <v>171</v>
      </c>
      <c r="C180" s="90">
        <f>VLOOKUP(A180,'Change in Proportion Calc'!$A$5:$P$316,12,FALSE)</f>
        <v>39685</v>
      </c>
      <c r="D180" s="90">
        <f>VLOOKUP(A180,'Change in Proportion Calc'!$A$5:$P$316,13,FALSE)</f>
        <v>39685</v>
      </c>
      <c r="E180" s="90">
        <f>VLOOKUP(A180,'Change in Proportion Calc'!$A$5:$P$316,13,FALSE)</f>
        <v>39685</v>
      </c>
      <c r="F180" s="90">
        <f>VLOOKUP(A180,'Change in Proportion Calc'!$A$5:$P$316,13,FALSE)</f>
        <v>39685</v>
      </c>
      <c r="G180" s="90">
        <f>VLOOKUP(A180,'Change in Proportion Calc'!$A$5:$P$316,16,FALSE)</f>
        <v>38890</v>
      </c>
      <c r="H180" s="255"/>
      <c r="I180" s="280">
        <v>102098</v>
      </c>
      <c r="J180" s="280">
        <v>102098</v>
      </c>
      <c r="K180" s="280">
        <v>102098</v>
      </c>
      <c r="L180" s="280">
        <v>102098</v>
      </c>
      <c r="M180" s="281">
        <v>100058</v>
      </c>
      <c r="N180" s="65"/>
      <c r="O180" s="154">
        <v>53264</v>
      </c>
      <c r="P180" s="154">
        <v>53264</v>
      </c>
      <c r="Q180" s="154">
        <v>53264</v>
      </c>
      <c r="R180" s="155">
        <v>34087</v>
      </c>
      <c r="T180" s="197">
        <v>-17409</v>
      </c>
      <c r="U180" s="197">
        <v>-17409</v>
      </c>
      <c r="V180" s="197">
        <v>-12534</v>
      </c>
      <c r="X180" s="281">
        <f>VLOOKUP(A180,'Change in Proportion Calc'!$A$5:$H$316,8,FALSE)+I180+O180+T180</f>
        <v>177638</v>
      </c>
      <c r="Z180" s="280">
        <f t="shared" si="6"/>
        <v>744597</v>
      </c>
      <c r="AA180" s="280">
        <f t="shared" si="7"/>
        <v>29943</v>
      </c>
      <c r="AC180" s="280">
        <f>VLOOKUP(A180,'OPEB Amounts_Report'!$A$10:$F$321,6,FALSE)</f>
        <v>744597</v>
      </c>
      <c r="AD180" s="281">
        <f t="shared" si="8"/>
        <v>0</v>
      </c>
    </row>
    <row r="181" spans="1:30">
      <c r="A181" s="64">
        <v>6124</v>
      </c>
      <c r="B181" s="65" t="s">
        <v>172</v>
      </c>
      <c r="C181" s="90">
        <f>VLOOKUP(A181,'Change in Proportion Calc'!$A$5:$P$316,12,FALSE)</f>
        <v>-134604</v>
      </c>
      <c r="D181" s="90">
        <f>VLOOKUP(A181,'Change in Proportion Calc'!$A$5:$P$316,13,FALSE)</f>
        <v>-134604</v>
      </c>
      <c r="E181" s="90">
        <f>VLOOKUP(A181,'Change in Proportion Calc'!$A$5:$P$316,13,FALSE)</f>
        <v>-134604</v>
      </c>
      <c r="F181" s="90">
        <f>VLOOKUP(A181,'Change in Proportion Calc'!$A$5:$P$316,13,FALSE)</f>
        <v>-134604</v>
      </c>
      <c r="G181" s="90">
        <f>VLOOKUP(A181,'Change in Proportion Calc'!$A$5:$P$316,16,FALSE)</f>
        <v>-131914</v>
      </c>
      <c r="H181" s="255"/>
      <c r="I181" s="280">
        <v>-150443</v>
      </c>
      <c r="J181" s="280">
        <v>-150443</v>
      </c>
      <c r="K181" s="280">
        <v>-150443</v>
      </c>
      <c r="L181" s="280">
        <v>-150443</v>
      </c>
      <c r="M181" s="281">
        <v>-147432</v>
      </c>
      <c r="N181" s="65"/>
      <c r="O181" s="154">
        <v>-191225</v>
      </c>
      <c r="P181" s="154">
        <v>-191225</v>
      </c>
      <c r="Q181" s="154">
        <v>-191225</v>
      </c>
      <c r="R181" s="155">
        <v>-122384</v>
      </c>
      <c r="T181" s="197">
        <v>-117681</v>
      </c>
      <c r="U181" s="197">
        <v>-117681</v>
      </c>
      <c r="V181" s="197">
        <v>-84728</v>
      </c>
      <c r="X181" s="281">
        <f>VLOOKUP(A181,'Change in Proportion Calc'!$A$5:$H$316,8,FALSE)+I181+O181+T181</f>
        <v>-593954</v>
      </c>
      <c r="Z181" s="280">
        <f t="shared" si="6"/>
        <v>0</v>
      </c>
      <c r="AA181" s="280">
        <f t="shared" si="7"/>
        <v>1976334</v>
      </c>
      <c r="AC181" s="280">
        <f>VLOOKUP(A181,'OPEB Amounts_Report'!$A$10:$F$321,6,FALSE)</f>
        <v>0</v>
      </c>
      <c r="AD181" s="281">
        <f t="shared" si="8"/>
        <v>0</v>
      </c>
    </row>
    <row r="182" spans="1:30">
      <c r="A182" s="62">
        <v>4097</v>
      </c>
      <c r="B182" s="66" t="s">
        <v>173</v>
      </c>
      <c r="C182" s="90">
        <f>VLOOKUP(A182,'Change in Proportion Calc'!$A$5:$P$316,12,FALSE)</f>
        <v>-22758</v>
      </c>
      <c r="D182" s="90">
        <f>VLOOKUP(A182,'Change in Proportion Calc'!$A$5:$P$316,13,FALSE)</f>
        <v>-22758</v>
      </c>
      <c r="E182" s="90">
        <f>VLOOKUP(A182,'Change in Proportion Calc'!$A$5:$P$316,13,FALSE)</f>
        <v>-22758</v>
      </c>
      <c r="F182" s="90">
        <f>VLOOKUP(A182,'Change in Proportion Calc'!$A$5:$P$316,13,FALSE)</f>
        <v>-22758</v>
      </c>
      <c r="G182" s="90">
        <f>VLOOKUP(A182,'Change in Proportion Calc'!$A$5:$P$316,16,FALSE)</f>
        <v>-22303</v>
      </c>
      <c r="H182" s="255"/>
      <c r="I182" s="280">
        <v>-164353</v>
      </c>
      <c r="J182" s="280">
        <v>-164353</v>
      </c>
      <c r="K182" s="280">
        <v>-164353</v>
      </c>
      <c r="L182" s="280">
        <v>-164353</v>
      </c>
      <c r="M182" s="281">
        <v>-161068</v>
      </c>
      <c r="N182" s="65"/>
      <c r="O182" s="154">
        <v>-2134</v>
      </c>
      <c r="P182" s="154">
        <v>-2134</v>
      </c>
      <c r="Q182" s="154">
        <v>-2134</v>
      </c>
      <c r="R182" s="155">
        <v>-1368</v>
      </c>
      <c r="T182" s="197">
        <v>36277</v>
      </c>
      <c r="U182" s="197">
        <v>36277</v>
      </c>
      <c r="V182" s="197">
        <v>26118</v>
      </c>
      <c r="X182" s="281">
        <f>VLOOKUP(A182,'Change in Proportion Calc'!$A$5:$H$316,8,FALSE)+I182+O182+T182</f>
        <v>-152968</v>
      </c>
      <c r="Z182" s="280">
        <f t="shared" si="6"/>
        <v>62395</v>
      </c>
      <c r="AA182" s="280">
        <f t="shared" si="7"/>
        <v>773098</v>
      </c>
      <c r="AC182" s="280">
        <f>VLOOKUP(A182,'OPEB Amounts_Report'!$A$10:$F$321,6,FALSE)</f>
        <v>62395</v>
      </c>
      <c r="AD182" s="281">
        <f t="shared" si="8"/>
        <v>0</v>
      </c>
    </row>
    <row r="183" spans="1:30">
      <c r="A183" s="64">
        <v>1416</v>
      </c>
      <c r="B183" s="65" t="s">
        <v>174</v>
      </c>
      <c r="C183" s="90">
        <f>VLOOKUP(A183,'Change in Proportion Calc'!$A$5:$P$316,12,FALSE)</f>
        <v>26646</v>
      </c>
      <c r="D183" s="90">
        <f>VLOOKUP(A183,'Change in Proportion Calc'!$A$5:$P$316,13,FALSE)</f>
        <v>26646</v>
      </c>
      <c r="E183" s="90">
        <f>VLOOKUP(A183,'Change in Proportion Calc'!$A$5:$P$316,13,FALSE)</f>
        <v>26646</v>
      </c>
      <c r="F183" s="90">
        <f>VLOOKUP(A183,'Change in Proportion Calc'!$A$5:$P$316,13,FALSE)</f>
        <v>26646</v>
      </c>
      <c r="G183" s="90">
        <f>VLOOKUP(A183,'Change in Proportion Calc'!$A$5:$P$316,16,FALSE)</f>
        <v>26111</v>
      </c>
      <c r="H183" s="255"/>
      <c r="I183" s="280">
        <v>3950</v>
      </c>
      <c r="J183" s="280">
        <v>3950</v>
      </c>
      <c r="K183" s="280">
        <v>3950</v>
      </c>
      <c r="L183" s="280">
        <v>3950</v>
      </c>
      <c r="M183" s="281">
        <v>3871</v>
      </c>
      <c r="N183" s="65"/>
      <c r="O183" s="154">
        <v>26972</v>
      </c>
      <c r="P183" s="154">
        <v>26972</v>
      </c>
      <c r="Q183" s="154">
        <v>26972</v>
      </c>
      <c r="R183" s="155">
        <v>17260</v>
      </c>
      <c r="T183" s="197">
        <v>17020</v>
      </c>
      <c r="U183" s="197">
        <v>17020</v>
      </c>
      <c r="V183" s="197">
        <v>12254</v>
      </c>
      <c r="X183" s="281">
        <f>VLOOKUP(A183,'Change in Proportion Calc'!$A$5:$H$316,8,FALSE)+I183+O183+T183</f>
        <v>74587</v>
      </c>
      <c r="Z183" s="280">
        <f t="shared" si="6"/>
        <v>248894</v>
      </c>
      <c r="AA183" s="280">
        <f t="shared" si="7"/>
        <v>0</v>
      </c>
      <c r="AC183" s="280">
        <f>VLOOKUP(A183,'OPEB Amounts_Report'!$A$10:$F$321,6,FALSE)</f>
        <v>248894</v>
      </c>
      <c r="AD183" s="281">
        <f t="shared" si="8"/>
        <v>0</v>
      </c>
    </row>
    <row r="184" spans="1:30">
      <c r="A184" s="62">
        <v>1094</v>
      </c>
      <c r="B184" s="66" t="s">
        <v>175</v>
      </c>
      <c r="C184" s="90">
        <f>VLOOKUP(A184,'Change in Proportion Calc'!$A$5:$P$316,12,FALSE)</f>
        <v>-107473</v>
      </c>
      <c r="D184" s="90">
        <f>VLOOKUP(A184,'Change in Proportion Calc'!$A$5:$P$316,13,FALSE)</f>
        <v>-107473</v>
      </c>
      <c r="E184" s="90">
        <f>VLOOKUP(A184,'Change in Proportion Calc'!$A$5:$P$316,13,FALSE)</f>
        <v>-107473</v>
      </c>
      <c r="F184" s="90">
        <f>VLOOKUP(A184,'Change in Proportion Calc'!$A$5:$P$316,13,FALSE)</f>
        <v>-107473</v>
      </c>
      <c r="G184" s="90">
        <f>VLOOKUP(A184,'Change in Proportion Calc'!$A$5:$P$316,16,FALSE)</f>
        <v>-105324</v>
      </c>
      <c r="H184" s="255"/>
      <c r="I184" s="280">
        <v>27993</v>
      </c>
      <c r="J184" s="280">
        <v>27993</v>
      </c>
      <c r="K184" s="280">
        <v>27993</v>
      </c>
      <c r="L184" s="280">
        <v>27993</v>
      </c>
      <c r="M184" s="281">
        <v>27435</v>
      </c>
      <c r="N184" s="65"/>
      <c r="O184" s="154">
        <v>20180</v>
      </c>
      <c r="P184" s="154">
        <v>20180</v>
      </c>
      <c r="Q184" s="154">
        <v>20180</v>
      </c>
      <c r="R184" s="155">
        <v>12915</v>
      </c>
      <c r="T184" s="197">
        <v>17506</v>
      </c>
      <c r="U184" s="197">
        <v>17506</v>
      </c>
      <c r="V184" s="197">
        <v>12605</v>
      </c>
      <c r="X184" s="281">
        <f>VLOOKUP(A184,'Change in Proportion Calc'!$A$5:$H$316,8,FALSE)+I184+O184+T184</f>
        <v>-41794</v>
      </c>
      <c r="Z184" s="280">
        <f t="shared" si="6"/>
        <v>194800</v>
      </c>
      <c r="AA184" s="280">
        <f t="shared" si="7"/>
        <v>535216</v>
      </c>
      <c r="AC184" s="280">
        <f>VLOOKUP(A184,'OPEB Amounts_Report'!$A$10:$F$321,6,FALSE)</f>
        <v>194800</v>
      </c>
      <c r="AD184" s="281">
        <f t="shared" si="8"/>
        <v>0</v>
      </c>
    </row>
    <row r="185" spans="1:30">
      <c r="A185" s="62">
        <v>32111</v>
      </c>
      <c r="B185" s="66" t="s">
        <v>176</v>
      </c>
      <c r="C185" s="90">
        <f>VLOOKUP(A185,'Change in Proportion Calc'!$A$5:$P$316,12,FALSE)</f>
        <v>-64224</v>
      </c>
      <c r="D185" s="90">
        <f>VLOOKUP(A185,'Change in Proportion Calc'!$A$5:$P$316,13,FALSE)</f>
        <v>-64224</v>
      </c>
      <c r="E185" s="90">
        <f>VLOOKUP(A185,'Change in Proportion Calc'!$A$5:$P$316,13,FALSE)</f>
        <v>-64224</v>
      </c>
      <c r="F185" s="90">
        <f>VLOOKUP(A185,'Change in Proportion Calc'!$A$5:$P$316,13,FALSE)</f>
        <v>-64224</v>
      </c>
      <c r="G185" s="90">
        <f>VLOOKUP(A185,'Change in Proportion Calc'!$A$5:$P$316,16,FALSE)</f>
        <v>-62942</v>
      </c>
      <c r="H185" s="255"/>
      <c r="I185" s="280">
        <v>-22841</v>
      </c>
      <c r="J185" s="280">
        <v>-22841</v>
      </c>
      <c r="K185" s="280">
        <v>-22841</v>
      </c>
      <c r="L185" s="280">
        <v>-22841</v>
      </c>
      <c r="M185" s="281">
        <v>-22385</v>
      </c>
      <c r="N185" s="65"/>
      <c r="O185" s="154">
        <v>2522</v>
      </c>
      <c r="P185" s="154">
        <v>2522</v>
      </c>
      <c r="Q185" s="154">
        <v>2522</v>
      </c>
      <c r="R185" s="155">
        <v>1616</v>
      </c>
      <c r="T185" s="197">
        <v>25481</v>
      </c>
      <c r="U185" s="197">
        <v>25481</v>
      </c>
      <c r="V185" s="197">
        <v>18347</v>
      </c>
      <c r="X185" s="281">
        <f>VLOOKUP(A185,'Change in Proportion Calc'!$A$5:$H$316,8,FALSE)+I185+O185+T185</f>
        <v>-59063</v>
      </c>
      <c r="Z185" s="280">
        <f t="shared" si="6"/>
        <v>50488</v>
      </c>
      <c r="AA185" s="280">
        <f t="shared" si="7"/>
        <v>410746</v>
      </c>
      <c r="AC185" s="280">
        <f>VLOOKUP(A185,'OPEB Amounts_Report'!$A$10:$F$321,6,FALSE)</f>
        <v>50488</v>
      </c>
      <c r="AD185" s="281">
        <f t="shared" si="8"/>
        <v>0</v>
      </c>
    </row>
    <row r="186" spans="1:30">
      <c r="A186" s="64">
        <v>2520</v>
      </c>
      <c r="B186" s="65" t="s">
        <v>177</v>
      </c>
      <c r="C186" s="90">
        <f>VLOOKUP(A186,'Change in Proportion Calc'!$A$5:$P$316,12,FALSE)</f>
        <v>29804</v>
      </c>
      <c r="D186" s="90">
        <f>VLOOKUP(A186,'Change in Proportion Calc'!$A$5:$P$316,13,FALSE)</f>
        <v>29804</v>
      </c>
      <c r="E186" s="90">
        <f>VLOOKUP(A186,'Change in Proportion Calc'!$A$5:$P$316,13,FALSE)</f>
        <v>29804</v>
      </c>
      <c r="F186" s="90">
        <f>VLOOKUP(A186,'Change in Proportion Calc'!$A$5:$P$316,13,FALSE)</f>
        <v>29804</v>
      </c>
      <c r="G186" s="90">
        <f>VLOOKUP(A186,'Change in Proportion Calc'!$A$5:$P$316,16,FALSE)</f>
        <v>29209</v>
      </c>
      <c r="H186" s="255"/>
      <c r="I186" s="280">
        <v>-16487</v>
      </c>
      <c r="J186" s="280">
        <v>-16487</v>
      </c>
      <c r="K186" s="280">
        <v>-16487</v>
      </c>
      <c r="L186" s="280">
        <v>-16487</v>
      </c>
      <c r="M186" s="281">
        <v>-16156</v>
      </c>
      <c r="N186" s="65"/>
      <c r="O186" s="154">
        <v>-74317</v>
      </c>
      <c r="P186" s="154">
        <v>-74317</v>
      </c>
      <c r="Q186" s="154">
        <v>-74317</v>
      </c>
      <c r="R186" s="155">
        <v>-47562</v>
      </c>
      <c r="T186" s="197">
        <v>-7294</v>
      </c>
      <c r="U186" s="197">
        <v>-7294</v>
      </c>
      <c r="V186" s="197">
        <v>-5253</v>
      </c>
      <c r="X186" s="281">
        <f>VLOOKUP(A186,'Change in Proportion Calc'!$A$5:$H$316,8,FALSE)+I186+O186+T186</f>
        <v>-68294</v>
      </c>
      <c r="Z186" s="280">
        <f t="shared" si="6"/>
        <v>148425</v>
      </c>
      <c r="AA186" s="280">
        <f t="shared" si="7"/>
        <v>274360</v>
      </c>
      <c r="AC186" s="280">
        <f>VLOOKUP(A186,'OPEB Amounts_Report'!$A$10:$F$321,6,FALSE)</f>
        <v>148425</v>
      </c>
      <c r="AD186" s="281">
        <f t="shared" si="8"/>
        <v>0</v>
      </c>
    </row>
    <row r="187" spans="1:30">
      <c r="A187" s="62">
        <v>3450</v>
      </c>
      <c r="B187" s="66" t="s">
        <v>178</v>
      </c>
      <c r="C187" s="90">
        <f>VLOOKUP(A187,'Change in Proportion Calc'!$A$5:$P$316,12,FALSE)</f>
        <v>2672</v>
      </c>
      <c r="D187" s="90">
        <f>VLOOKUP(A187,'Change in Proportion Calc'!$A$5:$P$316,13,FALSE)</f>
        <v>2672</v>
      </c>
      <c r="E187" s="90">
        <f>VLOOKUP(A187,'Change in Proportion Calc'!$A$5:$P$316,13,FALSE)</f>
        <v>2672</v>
      </c>
      <c r="F187" s="90">
        <f>VLOOKUP(A187,'Change in Proportion Calc'!$A$5:$P$316,13,FALSE)</f>
        <v>2672</v>
      </c>
      <c r="G187" s="90">
        <f>VLOOKUP(A187,'Change in Proportion Calc'!$A$5:$P$316,16,FALSE)</f>
        <v>2621</v>
      </c>
      <c r="H187" s="255"/>
      <c r="I187" s="280">
        <v>-12279</v>
      </c>
      <c r="J187" s="280">
        <v>-12279</v>
      </c>
      <c r="K187" s="280">
        <v>-12279</v>
      </c>
      <c r="L187" s="280">
        <v>-12279</v>
      </c>
      <c r="M187" s="281">
        <v>-12035</v>
      </c>
      <c r="N187" s="65"/>
      <c r="O187" s="154">
        <v>-4366</v>
      </c>
      <c r="P187" s="154">
        <v>-4366</v>
      </c>
      <c r="Q187" s="154">
        <v>-4366</v>
      </c>
      <c r="R187" s="155">
        <v>-2794</v>
      </c>
      <c r="T187" s="197">
        <v>33067</v>
      </c>
      <c r="U187" s="197">
        <v>33067</v>
      </c>
      <c r="V187" s="197">
        <v>23809</v>
      </c>
      <c r="X187" s="281">
        <f>VLOOKUP(A187,'Change in Proportion Calc'!$A$5:$H$316,8,FALSE)+I187+O187+T187</f>
        <v>19095</v>
      </c>
      <c r="Z187" s="280">
        <f t="shared" si="6"/>
        <v>70185</v>
      </c>
      <c r="AA187" s="280">
        <f t="shared" si="7"/>
        <v>60398</v>
      </c>
      <c r="AC187" s="280">
        <f>VLOOKUP(A187,'OPEB Amounts_Report'!$A$10:$F$321,6,FALSE)</f>
        <v>70185</v>
      </c>
      <c r="AD187" s="281">
        <f t="shared" si="8"/>
        <v>0</v>
      </c>
    </row>
    <row r="188" spans="1:30">
      <c r="A188" s="64">
        <v>4310</v>
      </c>
      <c r="B188" s="65" t="s">
        <v>179</v>
      </c>
      <c r="C188" s="90">
        <f>VLOOKUP(A188,'Change in Proportion Calc'!$A$5:$P$316,12,FALSE)</f>
        <v>-18628</v>
      </c>
      <c r="D188" s="90">
        <f>VLOOKUP(A188,'Change in Proportion Calc'!$A$5:$P$316,13,FALSE)</f>
        <v>-18628</v>
      </c>
      <c r="E188" s="90">
        <f>VLOOKUP(A188,'Change in Proportion Calc'!$A$5:$P$316,13,FALSE)</f>
        <v>-18628</v>
      </c>
      <c r="F188" s="90">
        <f>VLOOKUP(A188,'Change in Proportion Calc'!$A$5:$P$316,13,FALSE)</f>
        <v>-18628</v>
      </c>
      <c r="G188" s="90">
        <f>VLOOKUP(A188,'Change in Proportion Calc'!$A$5:$P$316,16,FALSE)</f>
        <v>-18253</v>
      </c>
      <c r="H188" s="255"/>
      <c r="I188" s="280">
        <v>515</v>
      </c>
      <c r="J188" s="280">
        <v>515</v>
      </c>
      <c r="K188" s="280">
        <v>515</v>
      </c>
      <c r="L188" s="280">
        <v>515</v>
      </c>
      <c r="M188" s="281">
        <v>506</v>
      </c>
      <c r="N188" s="65"/>
      <c r="O188" s="154">
        <v>27263</v>
      </c>
      <c r="P188" s="154">
        <v>27263</v>
      </c>
      <c r="Q188" s="154">
        <v>27263</v>
      </c>
      <c r="R188" s="155">
        <v>17446</v>
      </c>
      <c r="T188" s="197">
        <v>27815</v>
      </c>
      <c r="U188" s="197">
        <v>27815</v>
      </c>
      <c r="V188" s="197">
        <v>20029</v>
      </c>
      <c r="X188" s="281">
        <f>VLOOKUP(A188,'Change in Proportion Calc'!$A$5:$H$316,8,FALSE)+I188+O188+T188</f>
        <v>36965</v>
      </c>
      <c r="Z188" s="280">
        <f t="shared" si="6"/>
        <v>121867</v>
      </c>
      <c r="AA188" s="280">
        <f t="shared" si="7"/>
        <v>92765</v>
      </c>
      <c r="AC188" s="280">
        <f>VLOOKUP(A188,'OPEB Amounts_Report'!$A$10:$F$321,6,FALSE)</f>
        <v>121867</v>
      </c>
      <c r="AD188" s="281">
        <f t="shared" si="8"/>
        <v>0</v>
      </c>
    </row>
    <row r="189" spans="1:30">
      <c r="A189" s="62">
        <v>2328</v>
      </c>
      <c r="B189" s="66" t="s">
        <v>180</v>
      </c>
      <c r="C189" s="90">
        <f>VLOOKUP(A189,'Change in Proportion Calc'!$A$5:$P$316,12,FALSE)</f>
        <v>21948</v>
      </c>
      <c r="D189" s="90">
        <f>VLOOKUP(A189,'Change in Proportion Calc'!$A$5:$P$316,13,FALSE)</f>
        <v>21948</v>
      </c>
      <c r="E189" s="90">
        <f>VLOOKUP(A189,'Change in Proportion Calc'!$A$5:$P$316,13,FALSE)</f>
        <v>21948</v>
      </c>
      <c r="F189" s="90">
        <f>VLOOKUP(A189,'Change in Proportion Calc'!$A$5:$P$316,13,FALSE)</f>
        <v>21948</v>
      </c>
      <c r="G189" s="90">
        <f>VLOOKUP(A189,'Change in Proportion Calc'!$A$5:$P$316,16,FALSE)</f>
        <v>21510</v>
      </c>
      <c r="H189" s="255"/>
      <c r="I189" s="280">
        <v>-3950</v>
      </c>
      <c r="J189" s="280">
        <v>-3950</v>
      </c>
      <c r="K189" s="280">
        <v>-3950</v>
      </c>
      <c r="L189" s="280">
        <v>-3950</v>
      </c>
      <c r="M189" s="281">
        <v>-3871</v>
      </c>
      <c r="N189" s="65"/>
      <c r="O189" s="154">
        <v>64518</v>
      </c>
      <c r="P189" s="154">
        <v>64518</v>
      </c>
      <c r="Q189" s="154">
        <v>64518</v>
      </c>
      <c r="R189" s="155">
        <v>41291</v>
      </c>
      <c r="T189" s="197">
        <v>-127989</v>
      </c>
      <c r="U189" s="197">
        <v>-127989</v>
      </c>
      <c r="V189" s="197">
        <v>-92154</v>
      </c>
      <c r="X189" s="281">
        <f>VLOOKUP(A189,'Change in Proportion Calc'!$A$5:$H$316,8,FALSE)+I189+O189+T189</f>
        <v>-45473</v>
      </c>
      <c r="Z189" s="280">
        <f t="shared" si="6"/>
        <v>279629</v>
      </c>
      <c r="AA189" s="280">
        <f t="shared" si="7"/>
        <v>235864</v>
      </c>
      <c r="AC189" s="280">
        <f>VLOOKUP(A189,'OPEB Amounts_Report'!$A$10:$F$321,6,FALSE)</f>
        <v>279629</v>
      </c>
      <c r="AD189" s="281">
        <f t="shared" si="8"/>
        <v>0</v>
      </c>
    </row>
    <row r="190" spans="1:30">
      <c r="A190" s="64">
        <v>12151</v>
      </c>
      <c r="B190" s="65" t="s">
        <v>181</v>
      </c>
      <c r="C190" s="90">
        <f>VLOOKUP(A190,'Change in Proportion Calc'!$A$5:$P$316,12,FALSE)</f>
        <v>7937</v>
      </c>
      <c r="D190" s="90">
        <f>VLOOKUP(A190,'Change in Proportion Calc'!$A$5:$P$316,13,FALSE)</f>
        <v>7937</v>
      </c>
      <c r="E190" s="90">
        <f>VLOOKUP(A190,'Change in Proportion Calc'!$A$5:$P$316,13,FALSE)</f>
        <v>7937</v>
      </c>
      <c r="F190" s="90">
        <f>VLOOKUP(A190,'Change in Proportion Calc'!$A$5:$P$316,13,FALSE)</f>
        <v>7937</v>
      </c>
      <c r="G190" s="90">
        <f>VLOOKUP(A190,'Change in Proportion Calc'!$A$5:$P$316,16,FALSE)</f>
        <v>7778</v>
      </c>
      <c r="H190" s="255"/>
      <c r="I190" s="280">
        <v>-33489</v>
      </c>
      <c r="J190" s="280">
        <v>-33489</v>
      </c>
      <c r="K190" s="280">
        <v>-33489</v>
      </c>
      <c r="L190" s="280">
        <v>-33489</v>
      </c>
      <c r="M190" s="281">
        <v>-32819</v>
      </c>
      <c r="N190" s="65"/>
      <c r="O190" s="154">
        <v>-48509</v>
      </c>
      <c r="P190" s="154">
        <v>-48509</v>
      </c>
      <c r="Q190" s="154">
        <v>-48509</v>
      </c>
      <c r="R190" s="155">
        <v>-31048</v>
      </c>
      <c r="T190" s="197">
        <v>-17506</v>
      </c>
      <c r="U190" s="197">
        <v>-17506</v>
      </c>
      <c r="V190" s="197">
        <v>-12605</v>
      </c>
      <c r="X190" s="281">
        <f>VLOOKUP(A190,'Change in Proportion Calc'!$A$5:$H$316,8,FALSE)+I190+O190+T190</f>
        <v>-91567</v>
      </c>
      <c r="Z190" s="280">
        <f t="shared" si="6"/>
        <v>39526</v>
      </c>
      <c r="AA190" s="280">
        <f t="shared" si="7"/>
        <v>291463</v>
      </c>
      <c r="AC190" s="280">
        <f>VLOOKUP(A190,'OPEB Amounts_Report'!$A$10:$F$321,6,FALSE)</f>
        <v>39526</v>
      </c>
      <c r="AD190" s="281">
        <f t="shared" si="8"/>
        <v>0</v>
      </c>
    </row>
    <row r="191" spans="1:30">
      <c r="A191" s="62">
        <v>32110</v>
      </c>
      <c r="B191" s="66" t="s">
        <v>182</v>
      </c>
      <c r="C191" s="90">
        <f>VLOOKUP(A191,'Change in Proportion Calc'!$A$5:$P$316,12,FALSE)</f>
        <v>102371</v>
      </c>
      <c r="D191" s="90">
        <f>VLOOKUP(A191,'Change in Proportion Calc'!$A$5:$P$316,13,FALSE)</f>
        <v>102371</v>
      </c>
      <c r="E191" s="90">
        <f>VLOOKUP(A191,'Change in Proportion Calc'!$A$5:$P$316,13,FALSE)</f>
        <v>102371</v>
      </c>
      <c r="F191" s="90">
        <f>VLOOKUP(A191,'Change in Proportion Calc'!$A$5:$P$316,13,FALSE)</f>
        <v>102371</v>
      </c>
      <c r="G191" s="90">
        <f>VLOOKUP(A191,'Change in Proportion Calc'!$A$5:$P$316,16,FALSE)</f>
        <v>100322</v>
      </c>
      <c r="H191" s="255"/>
      <c r="I191" s="280">
        <v>95916</v>
      </c>
      <c r="J191" s="280">
        <v>95916</v>
      </c>
      <c r="K191" s="280">
        <v>95916</v>
      </c>
      <c r="L191" s="280">
        <v>95916</v>
      </c>
      <c r="M191" s="281">
        <v>93996</v>
      </c>
      <c r="N191" s="65"/>
      <c r="O191" s="154">
        <v>-26486</v>
      </c>
      <c r="P191" s="154">
        <v>-26486</v>
      </c>
      <c r="Q191" s="154">
        <v>-26486</v>
      </c>
      <c r="R191" s="155">
        <v>-16953</v>
      </c>
      <c r="T191" s="197">
        <v>87142</v>
      </c>
      <c r="U191" s="197">
        <v>87142</v>
      </c>
      <c r="V191" s="197">
        <v>62741</v>
      </c>
      <c r="X191" s="281">
        <f>VLOOKUP(A191,'Change in Proportion Calc'!$A$5:$H$316,8,FALSE)+I191+O191+T191</f>
        <v>258943</v>
      </c>
      <c r="Z191" s="280">
        <f t="shared" si="6"/>
        <v>1041433</v>
      </c>
      <c r="AA191" s="280">
        <f t="shared" si="7"/>
        <v>69925</v>
      </c>
      <c r="AC191" s="280">
        <f>VLOOKUP(A191,'OPEB Amounts_Report'!$A$10:$F$321,6,FALSE)</f>
        <v>1041433</v>
      </c>
      <c r="AD191" s="281">
        <f t="shared" si="8"/>
        <v>0</v>
      </c>
    </row>
    <row r="192" spans="1:30">
      <c r="A192" s="64">
        <v>4215</v>
      </c>
      <c r="B192" s="65" t="s">
        <v>183</v>
      </c>
      <c r="C192" s="90">
        <f>VLOOKUP(A192,'Change in Proportion Calc'!$A$5:$P$316,12,FALSE)</f>
        <v>-34340</v>
      </c>
      <c r="D192" s="90">
        <f>VLOOKUP(A192,'Change in Proportion Calc'!$A$5:$P$316,13,FALSE)</f>
        <v>-34340</v>
      </c>
      <c r="E192" s="90">
        <f>VLOOKUP(A192,'Change in Proportion Calc'!$A$5:$P$316,13,FALSE)</f>
        <v>-34340</v>
      </c>
      <c r="F192" s="90">
        <f>VLOOKUP(A192,'Change in Proportion Calc'!$A$5:$P$316,13,FALSE)</f>
        <v>-34340</v>
      </c>
      <c r="G192" s="90">
        <f>VLOOKUP(A192,'Change in Proportion Calc'!$A$5:$P$316,16,FALSE)</f>
        <v>-33651</v>
      </c>
      <c r="H192" s="255"/>
      <c r="I192" s="280">
        <v>-18462</v>
      </c>
      <c r="J192" s="280">
        <v>-18462</v>
      </c>
      <c r="K192" s="280">
        <v>-18462</v>
      </c>
      <c r="L192" s="280">
        <v>-18462</v>
      </c>
      <c r="M192" s="281">
        <v>-18092</v>
      </c>
      <c r="N192" s="65"/>
      <c r="O192" s="154">
        <v>-31046</v>
      </c>
      <c r="P192" s="154">
        <v>-31046</v>
      </c>
      <c r="Q192" s="154">
        <v>-31046</v>
      </c>
      <c r="R192" s="155">
        <v>-19870</v>
      </c>
      <c r="T192" s="197">
        <v>11379</v>
      </c>
      <c r="U192" s="197">
        <v>11379</v>
      </c>
      <c r="V192" s="197">
        <v>8193</v>
      </c>
      <c r="X192" s="281">
        <f>VLOOKUP(A192,'Change in Proportion Calc'!$A$5:$H$316,8,FALSE)+I192+O192+T192</f>
        <v>-72468</v>
      </c>
      <c r="Z192" s="280">
        <f t="shared" si="6"/>
        <v>19572</v>
      </c>
      <c r="AA192" s="280">
        <f t="shared" si="7"/>
        <v>326451</v>
      </c>
      <c r="AC192" s="280">
        <f>VLOOKUP(A192,'OPEB Amounts_Report'!$A$10:$F$321,6,FALSE)</f>
        <v>19572</v>
      </c>
      <c r="AD192" s="281">
        <f t="shared" si="8"/>
        <v>0</v>
      </c>
    </row>
    <row r="193" spans="1:30">
      <c r="A193" s="62">
        <v>2870</v>
      </c>
      <c r="B193" s="66" t="s">
        <v>184</v>
      </c>
      <c r="C193" s="90">
        <f>VLOOKUP(A193,'Change in Proportion Calc'!$A$5:$P$316,12,FALSE)</f>
        <v>2430</v>
      </c>
      <c r="D193" s="90">
        <f>VLOOKUP(A193,'Change in Proportion Calc'!$A$5:$P$316,13,FALSE)</f>
        <v>2430</v>
      </c>
      <c r="E193" s="90">
        <f>VLOOKUP(A193,'Change in Proportion Calc'!$A$5:$P$316,13,FALSE)</f>
        <v>2430</v>
      </c>
      <c r="F193" s="90">
        <f>VLOOKUP(A193,'Change in Proportion Calc'!$A$5:$P$316,13,FALSE)</f>
        <v>2430</v>
      </c>
      <c r="G193" s="90">
        <f>VLOOKUP(A193,'Change in Proportion Calc'!$A$5:$P$316,16,FALSE)</f>
        <v>2380</v>
      </c>
      <c r="H193" s="255"/>
      <c r="I193" s="280">
        <v>-17002</v>
      </c>
      <c r="J193" s="280">
        <v>-17002</v>
      </c>
      <c r="K193" s="280">
        <v>-17002</v>
      </c>
      <c r="L193" s="280">
        <v>-17002</v>
      </c>
      <c r="M193" s="281">
        <v>-16662</v>
      </c>
      <c r="N193" s="65"/>
      <c r="O193" s="154">
        <v>2231</v>
      </c>
      <c r="P193" s="154">
        <v>2231</v>
      </c>
      <c r="Q193" s="154">
        <v>2231</v>
      </c>
      <c r="R193" s="155">
        <v>1430</v>
      </c>
      <c r="T193" s="197">
        <v>26357</v>
      </c>
      <c r="U193" s="197">
        <v>26357</v>
      </c>
      <c r="V193" s="197">
        <v>18975</v>
      </c>
      <c r="X193" s="281">
        <f>VLOOKUP(A193,'Change in Proportion Calc'!$A$5:$H$316,8,FALSE)+I193+O193+T193</f>
        <v>14016</v>
      </c>
      <c r="Z193" s="280">
        <f t="shared" si="6"/>
        <v>63324</v>
      </c>
      <c r="AA193" s="280">
        <f t="shared" si="7"/>
        <v>67668</v>
      </c>
      <c r="AC193" s="280">
        <f>VLOOKUP(A193,'OPEB Amounts_Report'!$A$10:$F$321,6,FALSE)</f>
        <v>63324</v>
      </c>
      <c r="AD193" s="281">
        <f t="shared" si="8"/>
        <v>0</v>
      </c>
    </row>
    <row r="194" spans="1:30">
      <c r="A194" s="64">
        <v>29150</v>
      </c>
      <c r="B194" s="65" t="s">
        <v>185</v>
      </c>
      <c r="C194" s="90">
        <f>VLOOKUP(A194,'Change in Proportion Calc'!$A$5:$P$316,12,FALSE)</f>
        <v>-10771</v>
      </c>
      <c r="D194" s="90">
        <f>VLOOKUP(A194,'Change in Proportion Calc'!$A$5:$P$316,13,FALSE)</f>
        <v>-10771</v>
      </c>
      <c r="E194" s="90">
        <f>VLOOKUP(A194,'Change in Proportion Calc'!$A$5:$P$316,13,FALSE)</f>
        <v>-10771</v>
      </c>
      <c r="F194" s="90">
        <f>VLOOKUP(A194,'Change in Proportion Calc'!$A$5:$P$316,13,FALSE)</f>
        <v>-10771</v>
      </c>
      <c r="G194" s="90">
        <f>VLOOKUP(A194,'Change in Proportion Calc'!$A$5:$P$316,16,FALSE)</f>
        <v>-10558</v>
      </c>
      <c r="H194" s="255"/>
      <c r="I194" s="280">
        <v>-9532</v>
      </c>
      <c r="J194" s="280">
        <v>-9532</v>
      </c>
      <c r="K194" s="280">
        <v>-9532</v>
      </c>
      <c r="L194" s="280">
        <v>-9532</v>
      </c>
      <c r="M194" s="281">
        <v>-9339</v>
      </c>
      <c r="N194" s="65"/>
      <c r="O194" s="154">
        <v>-2814</v>
      </c>
      <c r="P194" s="154">
        <v>-2814</v>
      </c>
      <c r="Q194" s="154">
        <v>-2814</v>
      </c>
      <c r="R194" s="155">
        <v>-1799</v>
      </c>
      <c r="T194" s="197">
        <v>43571</v>
      </c>
      <c r="U194" s="197">
        <v>43571</v>
      </c>
      <c r="V194" s="197">
        <v>31371</v>
      </c>
      <c r="X194" s="281">
        <f>VLOOKUP(A194,'Change in Proportion Calc'!$A$5:$H$316,8,FALSE)+I194+O194+T194</f>
        <v>20453</v>
      </c>
      <c r="Z194" s="280">
        <f t="shared" si="6"/>
        <v>74942</v>
      </c>
      <c r="AA194" s="280">
        <f t="shared" si="7"/>
        <v>99004</v>
      </c>
      <c r="AC194" s="280">
        <f>VLOOKUP(A194,'OPEB Amounts_Report'!$A$10:$F$321,6,FALSE)</f>
        <v>74942</v>
      </c>
      <c r="AD194" s="281">
        <f t="shared" si="8"/>
        <v>0</v>
      </c>
    </row>
    <row r="195" spans="1:30">
      <c r="A195" s="62">
        <v>2311</v>
      </c>
      <c r="B195" s="66" t="s">
        <v>186</v>
      </c>
      <c r="C195" s="90">
        <f>VLOOKUP(A195,'Change in Proportion Calc'!$A$5:$P$316,12,FALSE)</f>
        <v>-25836</v>
      </c>
      <c r="D195" s="90">
        <f>VLOOKUP(A195,'Change in Proportion Calc'!$A$5:$P$316,13,FALSE)</f>
        <v>-25836</v>
      </c>
      <c r="E195" s="90">
        <f>VLOOKUP(A195,'Change in Proportion Calc'!$A$5:$P$316,13,FALSE)</f>
        <v>-25836</v>
      </c>
      <c r="F195" s="90">
        <f>VLOOKUP(A195,'Change in Proportion Calc'!$A$5:$P$316,13,FALSE)</f>
        <v>-25836</v>
      </c>
      <c r="G195" s="90">
        <f>VLOOKUP(A195,'Change in Proportion Calc'!$A$5:$P$316,16,FALSE)</f>
        <v>-25317</v>
      </c>
      <c r="H195" s="255"/>
      <c r="I195" s="280">
        <v>44738</v>
      </c>
      <c r="J195" s="280">
        <v>44738</v>
      </c>
      <c r="K195" s="280">
        <v>44738</v>
      </c>
      <c r="L195" s="280">
        <v>44738</v>
      </c>
      <c r="M195" s="281">
        <v>43842</v>
      </c>
      <c r="N195" s="65"/>
      <c r="O195" s="154">
        <v>-8829</v>
      </c>
      <c r="P195" s="154">
        <v>-8829</v>
      </c>
      <c r="Q195" s="154">
        <v>-8829</v>
      </c>
      <c r="R195" s="155">
        <v>-5649</v>
      </c>
      <c r="T195" s="197">
        <v>28788</v>
      </c>
      <c r="U195" s="197">
        <v>28788</v>
      </c>
      <c r="V195" s="197">
        <v>20727</v>
      </c>
      <c r="X195" s="281">
        <f>VLOOKUP(A195,'Change in Proportion Calc'!$A$5:$H$316,8,FALSE)+I195+O195+T195</f>
        <v>38861</v>
      </c>
      <c r="Z195" s="280">
        <f t="shared" si="6"/>
        <v>227571</v>
      </c>
      <c r="AA195" s="280">
        <f t="shared" si="7"/>
        <v>151968</v>
      </c>
      <c r="AC195" s="280">
        <f>VLOOKUP(A195,'OPEB Amounts_Report'!$A$10:$F$321,6,FALSE)</f>
        <v>227571</v>
      </c>
      <c r="AD195" s="281">
        <f t="shared" si="8"/>
        <v>0</v>
      </c>
    </row>
    <row r="196" spans="1:30">
      <c r="A196" s="64">
        <v>32118</v>
      </c>
      <c r="B196" s="65" t="s">
        <v>187</v>
      </c>
      <c r="C196" s="90">
        <f>VLOOKUP(A196,'Change in Proportion Calc'!$A$5:$P$316,12,FALSE)</f>
        <v>351332</v>
      </c>
      <c r="D196" s="90">
        <f>VLOOKUP(A196,'Change in Proportion Calc'!$A$5:$P$316,13,FALSE)</f>
        <v>351332</v>
      </c>
      <c r="E196" s="90">
        <f>VLOOKUP(A196,'Change in Proportion Calc'!$A$5:$P$316,13,FALSE)</f>
        <v>351332</v>
      </c>
      <c r="F196" s="90">
        <f>VLOOKUP(A196,'Change in Proportion Calc'!$A$5:$P$316,13,FALSE)</f>
        <v>351332</v>
      </c>
      <c r="G196" s="90">
        <f>VLOOKUP(A196,'Change in Proportion Calc'!$A$5:$P$316,16,FALSE)</f>
        <v>344307</v>
      </c>
      <c r="H196" s="255"/>
      <c r="I196" s="280">
        <v>121762</v>
      </c>
      <c r="J196" s="280">
        <v>121762</v>
      </c>
      <c r="K196" s="280">
        <v>121762</v>
      </c>
      <c r="L196" s="280">
        <v>121762</v>
      </c>
      <c r="M196" s="281">
        <v>119329</v>
      </c>
      <c r="N196" s="65"/>
      <c r="O196" s="154">
        <v>107497</v>
      </c>
      <c r="P196" s="154">
        <v>107497</v>
      </c>
      <c r="Q196" s="154">
        <v>107497</v>
      </c>
      <c r="R196" s="155">
        <v>68800</v>
      </c>
      <c r="T196" s="197">
        <v>99104</v>
      </c>
      <c r="U196" s="197">
        <v>99104</v>
      </c>
      <c r="V196" s="197">
        <v>71357</v>
      </c>
      <c r="X196" s="281">
        <f>VLOOKUP(A196,'Change in Proportion Calc'!$A$5:$H$316,8,FALSE)+I196+O196+T196</f>
        <v>679695</v>
      </c>
      <c r="Z196" s="280">
        <f t="shared" si="6"/>
        <v>2688505</v>
      </c>
      <c r="AA196" s="280">
        <f t="shared" si="7"/>
        <v>0</v>
      </c>
      <c r="AC196" s="280">
        <f>VLOOKUP(A196,'OPEB Amounts_Report'!$A$10:$F$321,6,FALSE)</f>
        <v>2688505</v>
      </c>
      <c r="AD196" s="281">
        <f t="shared" si="8"/>
        <v>0</v>
      </c>
    </row>
    <row r="197" spans="1:30">
      <c r="A197" s="62">
        <v>12039</v>
      </c>
      <c r="B197" s="66" t="s">
        <v>188</v>
      </c>
      <c r="C197" s="90">
        <f>VLOOKUP(A197,'Change in Proportion Calc'!$A$5:$P$316,12,FALSE)</f>
        <v>-36931</v>
      </c>
      <c r="D197" s="90">
        <f>VLOOKUP(A197,'Change in Proportion Calc'!$A$5:$P$316,13,FALSE)</f>
        <v>-36931</v>
      </c>
      <c r="E197" s="90">
        <f>VLOOKUP(A197,'Change in Proportion Calc'!$A$5:$P$316,13,FALSE)</f>
        <v>-36931</v>
      </c>
      <c r="F197" s="90">
        <f>VLOOKUP(A197,'Change in Proportion Calc'!$A$5:$P$316,13,FALSE)</f>
        <v>-36931</v>
      </c>
      <c r="G197" s="90">
        <f>VLOOKUP(A197,'Change in Proportion Calc'!$A$5:$P$316,16,FALSE)</f>
        <v>-36194</v>
      </c>
      <c r="H197" s="255"/>
      <c r="I197" s="280">
        <v>-58992</v>
      </c>
      <c r="J197" s="280">
        <v>-58992</v>
      </c>
      <c r="K197" s="280">
        <v>-58992</v>
      </c>
      <c r="L197" s="280">
        <v>-58992</v>
      </c>
      <c r="M197" s="281">
        <v>-57813</v>
      </c>
      <c r="N197" s="65"/>
      <c r="O197" s="154">
        <v>6209</v>
      </c>
      <c r="P197" s="154">
        <v>6209</v>
      </c>
      <c r="Q197" s="154">
        <v>6209</v>
      </c>
      <c r="R197" s="155">
        <v>3975</v>
      </c>
      <c r="T197" s="197">
        <v>-7392</v>
      </c>
      <c r="U197" s="197">
        <v>-7392</v>
      </c>
      <c r="V197" s="197">
        <v>-5320</v>
      </c>
      <c r="X197" s="281">
        <f>VLOOKUP(A197,'Change in Proportion Calc'!$A$5:$H$316,8,FALSE)+I197+O197+T197</f>
        <v>-97106</v>
      </c>
      <c r="Z197" s="280">
        <f t="shared" si="6"/>
        <v>16393</v>
      </c>
      <c r="AA197" s="280">
        <f t="shared" si="7"/>
        <v>431419</v>
      </c>
      <c r="AC197" s="280">
        <f>VLOOKUP(A197,'OPEB Amounts_Report'!$A$10:$F$321,6,FALSE)</f>
        <v>16393</v>
      </c>
      <c r="AD197" s="281">
        <f t="shared" si="8"/>
        <v>0</v>
      </c>
    </row>
    <row r="198" spans="1:30">
      <c r="A198" s="64">
        <v>12150</v>
      </c>
      <c r="B198" s="65" t="s">
        <v>189</v>
      </c>
      <c r="C198" s="90">
        <f>VLOOKUP(A198,'Change in Proportion Calc'!$A$5:$P$316,12,FALSE)</f>
        <v>-15469</v>
      </c>
      <c r="D198" s="90">
        <f>VLOOKUP(A198,'Change in Proportion Calc'!$A$5:$P$316,13,FALSE)</f>
        <v>-15469</v>
      </c>
      <c r="E198" s="90">
        <f>VLOOKUP(A198,'Change in Proportion Calc'!$A$5:$P$316,13,FALSE)</f>
        <v>-15469</v>
      </c>
      <c r="F198" s="90">
        <f>VLOOKUP(A198,'Change in Proportion Calc'!$A$5:$P$316,13,FALSE)</f>
        <v>-15469</v>
      </c>
      <c r="G198" s="90">
        <f>VLOOKUP(A198,'Change in Proportion Calc'!$A$5:$P$316,16,FALSE)</f>
        <v>-15160</v>
      </c>
      <c r="H198" s="255"/>
      <c r="I198" s="280">
        <v>9617</v>
      </c>
      <c r="J198" s="280">
        <v>9617</v>
      </c>
      <c r="K198" s="280">
        <v>9617</v>
      </c>
      <c r="L198" s="280">
        <v>9617</v>
      </c>
      <c r="M198" s="281">
        <v>9427</v>
      </c>
      <c r="N198" s="65"/>
      <c r="O198" s="154">
        <v>16493</v>
      </c>
      <c r="P198" s="154">
        <v>16493</v>
      </c>
      <c r="Q198" s="154">
        <v>16493</v>
      </c>
      <c r="R198" s="155">
        <v>10557</v>
      </c>
      <c r="T198" s="197">
        <v>34721</v>
      </c>
      <c r="U198" s="197">
        <v>34721</v>
      </c>
      <c r="V198" s="197">
        <v>24997</v>
      </c>
      <c r="X198" s="281">
        <f>VLOOKUP(A198,'Change in Proportion Calc'!$A$5:$H$316,8,FALSE)+I198+O198+T198</f>
        <v>45362</v>
      </c>
      <c r="Z198" s="280">
        <f t="shared" si="6"/>
        <v>141539</v>
      </c>
      <c r="AA198" s="280">
        <f t="shared" si="7"/>
        <v>77036</v>
      </c>
      <c r="AC198" s="280">
        <f>VLOOKUP(A198,'OPEB Amounts_Report'!$A$10:$F$321,6,FALSE)</f>
        <v>141539</v>
      </c>
      <c r="AD198" s="281">
        <f t="shared" si="8"/>
        <v>0</v>
      </c>
    </row>
    <row r="199" spans="1:30">
      <c r="A199" s="62">
        <v>20060</v>
      </c>
      <c r="B199" s="66" t="s">
        <v>190</v>
      </c>
      <c r="C199" s="90">
        <f>VLOOKUP(A199,'Change in Proportion Calc'!$A$5:$P$316,12,FALSE)</f>
        <v>-24216</v>
      </c>
      <c r="D199" s="90">
        <f>VLOOKUP(A199,'Change in Proportion Calc'!$A$5:$P$316,13,FALSE)</f>
        <v>-24216</v>
      </c>
      <c r="E199" s="90">
        <f>VLOOKUP(A199,'Change in Proportion Calc'!$A$5:$P$316,13,FALSE)</f>
        <v>-24216</v>
      </c>
      <c r="F199" s="90">
        <f>VLOOKUP(A199,'Change in Proportion Calc'!$A$5:$P$316,13,FALSE)</f>
        <v>-24216</v>
      </c>
      <c r="G199" s="90">
        <f>VLOOKUP(A199,'Change in Proportion Calc'!$A$5:$P$316,16,FALSE)</f>
        <v>-23731</v>
      </c>
      <c r="H199" s="255"/>
      <c r="I199" s="280">
        <v>-24988</v>
      </c>
      <c r="J199" s="280">
        <v>-24988</v>
      </c>
      <c r="K199" s="280">
        <v>-24988</v>
      </c>
      <c r="L199" s="280">
        <v>-24988</v>
      </c>
      <c r="M199" s="281">
        <v>-24488</v>
      </c>
      <c r="N199" s="65"/>
      <c r="O199" s="154">
        <v>-187150</v>
      </c>
      <c r="P199" s="154">
        <v>-187150</v>
      </c>
      <c r="Q199" s="154">
        <v>-187150</v>
      </c>
      <c r="R199" s="155">
        <v>-119778</v>
      </c>
      <c r="T199" s="197">
        <v>356931</v>
      </c>
      <c r="U199" s="197">
        <v>356931</v>
      </c>
      <c r="V199" s="197">
        <v>256992</v>
      </c>
      <c r="X199" s="281">
        <f>VLOOKUP(A199,'Change in Proportion Calc'!$A$5:$H$316,8,FALSE)+I199+O199+T199</f>
        <v>120577</v>
      </c>
      <c r="Z199" s="280">
        <f t="shared" si="6"/>
        <v>613923</v>
      </c>
      <c r="AA199" s="280">
        <f t="shared" si="7"/>
        <v>714125</v>
      </c>
      <c r="AC199" s="280">
        <f>VLOOKUP(A199,'OPEB Amounts_Report'!$A$10:$F$321,6,FALSE)</f>
        <v>613923</v>
      </c>
      <c r="AD199" s="281">
        <f t="shared" si="8"/>
        <v>0</v>
      </c>
    </row>
    <row r="200" spans="1:30">
      <c r="A200" s="64">
        <v>1001</v>
      </c>
      <c r="B200" s="65" t="s">
        <v>191</v>
      </c>
      <c r="C200" s="90">
        <f>VLOOKUP(A200,'Change in Proportion Calc'!$A$5:$P$316,12,FALSE)</f>
        <v>-411750</v>
      </c>
      <c r="D200" s="90">
        <f>VLOOKUP(A200,'Change in Proportion Calc'!$A$5:$P$316,13,FALSE)</f>
        <v>-411750</v>
      </c>
      <c r="E200" s="90">
        <f>VLOOKUP(A200,'Change in Proportion Calc'!$A$5:$P$316,13,FALSE)</f>
        <v>-411750</v>
      </c>
      <c r="F200" s="90">
        <f>VLOOKUP(A200,'Change in Proportion Calc'!$A$5:$P$316,13,FALSE)</f>
        <v>-411750</v>
      </c>
      <c r="G200" s="90">
        <f>VLOOKUP(A200,'Change in Proportion Calc'!$A$5:$P$316,16,FALSE)</f>
        <v>-403517</v>
      </c>
      <c r="H200" s="255"/>
      <c r="I200" s="280">
        <v>-42935</v>
      </c>
      <c r="J200" s="280">
        <v>-42935</v>
      </c>
      <c r="K200" s="280">
        <v>-42935</v>
      </c>
      <c r="L200" s="280">
        <v>-42935</v>
      </c>
      <c r="M200" s="281">
        <v>-42074</v>
      </c>
      <c r="N200" s="65"/>
      <c r="O200" s="154">
        <v>-230033</v>
      </c>
      <c r="P200" s="154">
        <v>-230033</v>
      </c>
      <c r="Q200" s="154">
        <v>-230033</v>
      </c>
      <c r="R200" s="155">
        <v>-147220</v>
      </c>
      <c r="T200" s="197">
        <v>364420</v>
      </c>
      <c r="U200" s="197">
        <v>364420</v>
      </c>
      <c r="V200" s="197">
        <v>262383</v>
      </c>
      <c r="X200" s="281">
        <f>VLOOKUP(A200,'Change in Proportion Calc'!$A$5:$H$316,8,FALSE)+I200+O200+T200</f>
        <v>-320298</v>
      </c>
      <c r="Z200" s="280">
        <f t="shared" si="6"/>
        <v>626803</v>
      </c>
      <c r="AA200" s="280">
        <f t="shared" si="7"/>
        <v>2828682</v>
      </c>
      <c r="AC200" s="280">
        <f>VLOOKUP(A200,'OPEB Amounts_Report'!$A$10:$F$321,6,FALSE)</f>
        <v>626803</v>
      </c>
      <c r="AD200" s="281">
        <f t="shared" si="8"/>
        <v>0</v>
      </c>
    </row>
    <row r="201" spans="1:30">
      <c r="A201" s="62">
        <v>11035</v>
      </c>
      <c r="B201" s="66" t="s">
        <v>192</v>
      </c>
      <c r="C201" s="90">
        <f>VLOOKUP(A201,'Change in Proportion Calc'!$A$5:$P$316,12,FALSE)</f>
        <v>113061</v>
      </c>
      <c r="D201" s="90">
        <f>VLOOKUP(A201,'Change in Proportion Calc'!$A$5:$P$316,13,FALSE)</f>
        <v>113061</v>
      </c>
      <c r="E201" s="90">
        <f>VLOOKUP(A201,'Change in Proportion Calc'!$A$5:$P$316,13,FALSE)</f>
        <v>113061</v>
      </c>
      <c r="F201" s="90">
        <f>VLOOKUP(A201,'Change in Proportion Calc'!$A$5:$P$316,13,FALSE)</f>
        <v>113061</v>
      </c>
      <c r="G201" s="90">
        <f>VLOOKUP(A201,'Change in Proportion Calc'!$A$5:$P$316,16,FALSE)</f>
        <v>110801</v>
      </c>
      <c r="H201" s="255"/>
      <c r="I201" s="280">
        <v>136274</v>
      </c>
      <c r="J201" s="280">
        <v>136274</v>
      </c>
      <c r="K201" s="280">
        <v>136274</v>
      </c>
      <c r="L201" s="280">
        <v>136274</v>
      </c>
      <c r="M201" s="281">
        <v>133550</v>
      </c>
      <c r="N201" s="65"/>
      <c r="O201" s="154">
        <v>193263</v>
      </c>
      <c r="P201" s="154">
        <v>193263</v>
      </c>
      <c r="Q201" s="154">
        <v>193263</v>
      </c>
      <c r="R201" s="155">
        <v>123686</v>
      </c>
      <c r="T201" s="197">
        <v>-54367</v>
      </c>
      <c r="U201" s="197">
        <v>-54367</v>
      </c>
      <c r="V201" s="197">
        <v>-39142</v>
      </c>
      <c r="X201" s="281">
        <f>VLOOKUP(A201,'Change in Proportion Calc'!$A$5:$H$316,8,FALSE)+I201+O201+T201</f>
        <v>388231</v>
      </c>
      <c r="Z201" s="280">
        <f t="shared" ref="Z201:Z264" si="9">IF(SUM(C201:G201)&gt;0,SUM(C201:G201),0)+IF(SUM(J201:M201)&gt;0,SUM(J201:M201),0)+IF(SUM(P201:R201)&gt;0,SUM(P201:R201),0)+IF(SUM(U201:V201)&gt;0,SUM(U201:V201),0)</f>
        <v>1615629</v>
      </c>
      <c r="AA201" s="280">
        <f t="shared" ref="AA201:AA264" si="10">IF(SUM(C201:G201)&lt;0,-SUM(C201:G201),0)+IF(SUM(J201:M201)&lt;0,-SUM(J201:M201),0)+IF(SUM(P201:R201)&lt;0,-SUM(P201:R201),0)+IF(SUM(U201:V201)&lt;0,-SUM(U201:V201),0)</f>
        <v>93509</v>
      </c>
      <c r="AC201" s="280">
        <f>VLOOKUP(A201,'OPEB Amounts_Report'!$A$10:$F$321,6,FALSE)</f>
        <v>1615629</v>
      </c>
      <c r="AD201" s="281">
        <f t="shared" ref="AD201:AD264" si="11">+Z201-AC201</f>
        <v>0</v>
      </c>
    </row>
    <row r="202" spans="1:30">
      <c r="A202" s="64">
        <v>2320</v>
      </c>
      <c r="B202" s="65" t="s">
        <v>193</v>
      </c>
      <c r="C202" s="90">
        <f>VLOOKUP(A202,'Change in Proportion Calc'!$A$5:$P$316,12,FALSE)</f>
        <v>3888</v>
      </c>
      <c r="D202" s="90">
        <f>VLOOKUP(A202,'Change in Proportion Calc'!$A$5:$P$316,13,FALSE)</f>
        <v>3888</v>
      </c>
      <c r="E202" s="90">
        <f>VLOOKUP(A202,'Change in Proportion Calc'!$A$5:$P$316,13,FALSE)</f>
        <v>3888</v>
      </c>
      <c r="F202" s="90">
        <f>VLOOKUP(A202,'Change in Proportion Calc'!$A$5:$P$316,13,FALSE)</f>
        <v>3888</v>
      </c>
      <c r="G202" s="90">
        <f>VLOOKUP(A202,'Change in Proportion Calc'!$A$5:$P$316,16,FALSE)</f>
        <v>3808</v>
      </c>
      <c r="H202" s="255"/>
      <c r="I202" s="280">
        <v>13224</v>
      </c>
      <c r="J202" s="280">
        <v>13224</v>
      </c>
      <c r="K202" s="280">
        <v>13224</v>
      </c>
      <c r="L202" s="280">
        <v>13224</v>
      </c>
      <c r="M202" s="281">
        <v>12959</v>
      </c>
      <c r="N202" s="65"/>
      <c r="O202" s="154">
        <v>-8344</v>
      </c>
      <c r="P202" s="154">
        <v>-8344</v>
      </c>
      <c r="Q202" s="154">
        <v>-8344</v>
      </c>
      <c r="R202" s="155">
        <v>-5338</v>
      </c>
      <c r="T202" s="197">
        <v>-5641</v>
      </c>
      <c r="U202" s="197">
        <v>-5641</v>
      </c>
      <c r="V202" s="197">
        <v>-4061</v>
      </c>
      <c r="X202" s="281">
        <f>VLOOKUP(A202,'Change in Proportion Calc'!$A$5:$H$316,8,FALSE)+I202+O202+T202</f>
        <v>3126</v>
      </c>
      <c r="Z202" s="280">
        <f t="shared" si="9"/>
        <v>71991</v>
      </c>
      <c r="AA202" s="280">
        <f t="shared" si="10"/>
        <v>31728</v>
      </c>
      <c r="AC202" s="280">
        <f>VLOOKUP(A202,'OPEB Amounts_Report'!$A$10:$F$321,6,FALSE)</f>
        <v>71991</v>
      </c>
      <c r="AD202" s="281">
        <f t="shared" si="11"/>
        <v>0</v>
      </c>
    </row>
    <row r="203" spans="1:30">
      <c r="A203" s="62">
        <v>28084</v>
      </c>
      <c r="B203" s="66" t="s">
        <v>194</v>
      </c>
      <c r="C203" s="90">
        <f>VLOOKUP(A203,'Change in Proportion Calc'!$A$5:$P$316,12,FALSE)</f>
        <v>11257</v>
      </c>
      <c r="D203" s="90">
        <f>VLOOKUP(A203,'Change in Proportion Calc'!$A$5:$P$316,13,FALSE)</f>
        <v>11257</v>
      </c>
      <c r="E203" s="90">
        <f>VLOOKUP(A203,'Change in Proportion Calc'!$A$5:$P$316,13,FALSE)</f>
        <v>11257</v>
      </c>
      <c r="F203" s="90">
        <f>VLOOKUP(A203,'Change in Proportion Calc'!$A$5:$P$316,13,FALSE)</f>
        <v>11257</v>
      </c>
      <c r="G203" s="90">
        <f>VLOOKUP(A203,'Change in Proportion Calc'!$A$5:$P$316,16,FALSE)</f>
        <v>11034</v>
      </c>
      <c r="H203" s="255"/>
      <c r="I203" s="280">
        <v>6612</v>
      </c>
      <c r="J203" s="280">
        <v>6612</v>
      </c>
      <c r="K203" s="280">
        <v>6612</v>
      </c>
      <c r="L203" s="280">
        <v>6612</v>
      </c>
      <c r="M203" s="281">
        <v>6479</v>
      </c>
      <c r="N203" s="65"/>
      <c r="O203" s="154">
        <v>-10575</v>
      </c>
      <c r="P203" s="154">
        <v>-10575</v>
      </c>
      <c r="Q203" s="154">
        <v>-10575</v>
      </c>
      <c r="R203" s="155">
        <v>-6769</v>
      </c>
      <c r="T203" s="197">
        <v>11768</v>
      </c>
      <c r="U203" s="197">
        <v>11768</v>
      </c>
      <c r="V203" s="197">
        <v>8473</v>
      </c>
      <c r="X203" s="281">
        <f>VLOOKUP(A203,'Change in Proportion Calc'!$A$5:$H$316,8,FALSE)+I203+O203+T203</f>
        <v>19063</v>
      </c>
      <c r="Z203" s="280">
        <f t="shared" si="9"/>
        <v>102618</v>
      </c>
      <c r="AA203" s="280">
        <f t="shared" si="10"/>
        <v>27919</v>
      </c>
      <c r="AC203" s="280">
        <f>VLOOKUP(A203,'OPEB Amounts_Report'!$A$10:$F$321,6,FALSE)</f>
        <v>102618</v>
      </c>
      <c r="AD203" s="281">
        <f t="shared" si="11"/>
        <v>0</v>
      </c>
    </row>
    <row r="204" spans="1:30">
      <c r="A204" s="64">
        <v>20125</v>
      </c>
      <c r="B204" s="65" t="s">
        <v>195</v>
      </c>
      <c r="C204" s="90">
        <f>VLOOKUP(A204,'Change in Proportion Calc'!$A$5:$P$316,12,FALSE)</f>
        <v>-66088</v>
      </c>
      <c r="D204" s="90">
        <f>VLOOKUP(A204,'Change in Proportion Calc'!$A$5:$P$316,13,FALSE)</f>
        <v>-66088</v>
      </c>
      <c r="E204" s="90">
        <f>VLOOKUP(A204,'Change in Proportion Calc'!$A$5:$P$316,13,FALSE)</f>
        <v>-66088</v>
      </c>
      <c r="F204" s="90">
        <f>VLOOKUP(A204,'Change in Proportion Calc'!$A$5:$P$316,13,FALSE)</f>
        <v>-66088</v>
      </c>
      <c r="G204" s="90">
        <f>VLOOKUP(A204,'Change in Proportion Calc'!$A$5:$P$316,16,FALSE)</f>
        <v>-64764</v>
      </c>
      <c r="H204" s="255"/>
      <c r="I204" s="280">
        <v>-24730</v>
      </c>
      <c r="J204" s="280">
        <v>-24730</v>
      </c>
      <c r="K204" s="280">
        <v>-24730</v>
      </c>
      <c r="L204" s="280">
        <v>-24730</v>
      </c>
      <c r="M204" s="281">
        <v>-24237</v>
      </c>
      <c r="N204" s="65"/>
      <c r="O204" s="154">
        <v>-90616</v>
      </c>
      <c r="P204" s="154">
        <v>-90616</v>
      </c>
      <c r="Q204" s="154">
        <v>-90616</v>
      </c>
      <c r="R204" s="155">
        <v>-57994</v>
      </c>
      <c r="T204" s="197">
        <v>-18284</v>
      </c>
      <c r="U204" s="197">
        <v>-18284</v>
      </c>
      <c r="V204" s="197">
        <v>-13166</v>
      </c>
      <c r="X204" s="281">
        <f>VLOOKUP(A204,'Change in Proportion Calc'!$A$5:$H$316,8,FALSE)+I204+O204+T204</f>
        <v>-199717</v>
      </c>
      <c r="Z204" s="280">
        <f t="shared" si="9"/>
        <v>0</v>
      </c>
      <c r="AA204" s="280">
        <f t="shared" si="10"/>
        <v>698219</v>
      </c>
      <c r="AC204" s="280">
        <f>VLOOKUP(A204,'OPEB Amounts_Report'!$A$10:$F$321,6,FALSE)</f>
        <v>0</v>
      </c>
      <c r="AD204" s="281">
        <f t="shared" si="11"/>
        <v>0</v>
      </c>
    </row>
    <row r="205" spans="1:30">
      <c r="A205" s="62">
        <v>4170</v>
      </c>
      <c r="B205" s="66" t="s">
        <v>196</v>
      </c>
      <c r="C205" s="90">
        <f>VLOOKUP(A205,'Change in Proportion Calc'!$A$5:$P$316,12,FALSE)</f>
        <v>-43734</v>
      </c>
      <c r="D205" s="90">
        <f>VLOOKUP(A205,'Change in Proportion Calc'!$A$5:$P$316,13,FALSE)</f>
        <v>-43734</v>
      </c>
      <c r="E205" s="90">
        <f>VLOOKUP(A205,'Change in Proportion Calc'!$A$5:$P$316,13,FALSE)</f>
        <v>-43734</v>
      </c>
      <c r="F205" s="90">
        <f>VLOOKUP(A205,'Change in Proportion Calc'!$A$5:$P$316,13,FALSE)</f>
        <v>-43734</v>
      </c>
      <c r="G205" s="90">
        <f>VLOOKUP(A205,'Change in Proportion Calc'!$A$5:$P$316,16,FALSE)</f>
        <v>-42861</v>
      </c>
      <c r="H205" s="255"/>
      <c r="I205" s="280">
        <v>0</v>
      </c>
      <c r="J205" s="280">
        <v>0</v>
      </c>
      <c r="K205" s="280">
        <v>0</v>
      </c>
      <c r="L205" s="280">
        <v>0</v>
      </c>
      <c r="M205" s="281">
        <v>0</v>
      </c>
      <c r="N205" s="65"/>
      <c r="O205" s="154">
        <v>11157</v>
      </c>
      <c r="P205" s="154">
        <v>11157</v>
      </c>
      <c r="Q205" s="154">
        <v>11157</v>
      </c>
      <c r="R205" s="155">
        <v>7142</v>
      </c>
      <c r="T205" s="197">
        <v>-9239</v>
      </c>
      <c r="U205" s="197">
        <v>-9239</v>
      </c>
      <c r="V205" s="197">
        <v>-6654</v>
      </c>
      <c r="X205" s="281">
        <f>VLOOKUP(A205,'Change in Proportion Calc'!$A$5:$H$316,8,FALSE)+I205+O205+T205</f>
        <v>-41816</v>
      </c>
      <c r="Z205" s="280">
        <f t="shared" si="9"/>
        <v>29456</v>
      </c>
      <c r="AA205" s="280">
        <f t="shared" si="10"/>
        <v>233690</v>
      </c>
      <c r="AC205" s="280">
        <f>VLOOKUP(A205,'OPEB Amounts_Report'!$A$10:$F$321,6,FALSE)</f>
        <v>29456</v>
      </c>
      <c r="AD205" s="281">
        <f t="shared" si="11"/>
        <v>0</v>
      </c>
    </row>
    <row r="206" spans="1:30">
      <c r="A206" s="64">
        <v>9029</v>
      </c>
      <c r="B206" s="65" t="s">
        <v>197</v>
      </c>
      <c r="C206" s="90">
        <f>VLOOKUP(A206,'Change in Proportion Calc'!$A$5:$P$316,12,FALSE)</f>
        <v>3483</v>
      </c>
      <c r="D206" s="90">
        <f>VLOOKUP(A206,'Change in Proportion Calc'!$A$5:$P$316,13,FALSE)</f>
        <v>3483</v>
      </c>
      <c r="E206" s="90">
        <f>VLOOKUP(A206,'Change in Proportion Calc'!$A$5:$P$316,13,FALSE)</f>
        <v>3483</v>
      </c>
      <c r="F206" s="90">
        <f>VLOOKUP(A206,'Change in Proportion Calc'!$A$5:$P$316,13,FALSE)</f>
        <v>3483</v>
      </c>
      <c r="G206" s="90">
        <f>VLOOKUP(A206,'Change in Proportion Calc'!$A$5:$P$316,16,FALSE)</f>
        <v>3411</v>
      </c>
      <c r="H206" s="255"/>
      <c r="I206" s="280">
        <v>187967</v>
      </c>
      <c r="J206" s="280">
        <v>187967</v>
      </c>
      <c r="K206" s="280">
        <v>187967</v>
      </c>
      <c r="L206" s="280">
        <v>187967</v>
      </c>
      <c r="M206" s="281">
        <v>184210</v>
      </c>
      <c r="N206" s="65"/>
      <c r="O206" s="154">
        <v>-182591</v>
      </c>
      <c r="P206" s="154">
        <v>-182591</v>
      </c>
      <c r="Q206" s="154">
        <v>-182591</v>
      </c>
      <c r="R206" s="155">
        <v>-116856</v>
      </c>
      <c r="T206" s="197">
        <v>-161543</v>
      </c>
      <c r="U206" s="197">
        <v>-161543</v>
      </c>
      <c r="V206" s="197">
        <v>-116311</v>
      </c>
      <c r="X206" s="281">
        <f>VLOOKUP(A206,'Change in Proportion Calc'!$A$5:$H$316,8,FALSE)+I206+O206+T206</f>
        <v>-152684</v>
      </c>
      <c r="Z206" s="280">
        <f t="shared" si="9"/>
        <v>765454</v>
      </c>
      <c r="AA206" s="280">
        <f t="shared" si="10"/>
        <v>759892</v>
      </c>
      <c r="AC206" s="280">
        <f>VLOOKUP(A206,'OPEB Amounts_Report'!$A$10:$F$321,6,FALSE)</f>
        <v>765454</v>
      </c>
      <c r="AD206" s="281">
        <f t="shared" si="11"/>
        <v>0</v>
      </c>
    </row>
    <row r="207" spans="1:30">
      <c r="A207" s="62">
        <v>2580</v>
      </c>
      <c r="B207" s="66" t="s">
        <v>198</v>
      </c>
      <c r="C207" s="90">
        <f>VLOOKUP(A207,'Change in Proportion Calc'!$A$5:$P$316,12,FALSE)</f>
        <v>-3483</v>
      </c>
      <c r="D207" s="90">
        <f>VLOOKUP(A207,'Change in Proportion Calc'!$A$5:$P$316,13,FALSE)</f>
        <v>-3483</v>
      </c>
      <c r="E207" s="90">
        <f>VLOOKUP(A207,'Change in Proportion Calc'!$A$5:$P$316,13,FALSE)</f>
        <v>-3483</v>
      </c>
      <c r="F207" s="90">
        <f>VLOOKUP(A207,'Change in Proportion Calc'!$A$5:$P$316,13,FALSE)</f>
        <v>-3483</v>
      </c>
      <c r="G207" s="90">
        <f>VLOOKUP(A207,'Change in Proportion Calc'!$A$5:$P$316,16,FALSE)</f>
        <v>-3411</v>
      </c>
      <c r="H207" s="255"/>
      <c r="I207" s="280">
        <v>-19664</v>
      </c>
      <c r="J207" s="280">
        <v>-19664</v>
      </c>
      <c r="K207" s="280">
        <v>-19664</v>
      </c>
      <c r="L207" s="280">
        <v>-19664</v>
      </c>
      <c r="M207" s="281">
        <v>-19271</v>
      </c>
      <c r="N207" s="65"/>
      <c r="O207" s="154">
        <v>4075</v>
      </c>
      <c r="P207" s="154">
        <v>4075</v>
      </c>
      <c r="Q207" s="154">
        <v>4075</v>
      </c>
      <c r="R207" s="155">
        <v>2607</v>
      </c>
      <c r="T207" s="197">
        <v>8656</v>
      </c>
      <c r="U207" s="197">
        <v>8656</v>
      </c>
      <c r="V207" s="197">
        <v>6231</v>
      </c>
      <c r="X207" s="281">
        <f>VLOOKUP(A207,'Change in Proportion Calc'!$A$5:$H$316,8,FALSE)+I207+O207+T207</f>
        <v>-10416</v>
      </c>
      <c r="Z207" s="280">
        <f t="shared" si="9"/>
        <v>25644</v>
      </c>
      <c r="AA207" s="280">
        <f t="shared" si="10"/>
        <v>95606</v>
      </c>
      <c r="AC207" s="280">
        <f>VLOOKUP(A207,'OPEB Amounts_Report'!$A$10:$F$321,6,FALSE)</f>
        <v>25644</v>
      </c>
      <c r="AD207" s="281">
        <f t="shared" si="11"/>
        <v>0</v>
      </c>
    </row>
    <row r="208" spans="1:30">
      <c r="A208" s="64">
        <v>20312</v>
      </c>
      <c r="B208" s="65" t="s">
        <v>199</v>
      </c>
      <c r="C208" s="90">
        <f>VLOOKUP(A208,'Change in Proportion Calc'!$A$5:$P$316,12,FALSE)</f>
        <v>9395</v>
      </c>
      <c r="D208" s="90">
        <f>VLOOKUP(A208,'Change in Proportion Calc'!$A$5:$P$316,13,FALSE)</f>
        <v>9395</v>
      </c>
      <c r="E208" s="90">
        <f>VLOOKUP(A208,'Change in Proportion Calc'!$A$5:$P$316,13,FALSE)</f>
        <v>9395</v>
      </c>
      <c r="F208" s="90">
        <f>VLOOKUP(A208,'Change in Proportion Calc'!$A$5:$P$316,13,FALSE)</f>
        <v>9395</v>
      </c>
      <c r="G208" s="90">
        <f>VLOOKUP(A208,'Change in Proportion Calc'!$A$5:$P$316,16,FALSE)</f>
        <v>9206</v>
      </c>
      <c r="H208" s="255"/>
      <c r="I208" s="280">
        <v>2576</v>
      </c>
      <c r="J208" s="280">
        <v>2576</v>
      </c>
      <c r="K208" s="280">
        <v>2576</v>
      </c>
      <c r="L208" s="280">
        <v>2576</v>
      </c>
      <c r="M208" s="281">
        <v>2525</v>
      </c>
      <c r="N208" s="65"/>
      <c r="O208" s="154">
        <v>14068</v>
      </c>
      <c r="P208" s="154">
        <v>14068</v>
      </c>
      <c r="Q208" s="154">
        <v>14068</v>
      </c>
      <c r="R208" s="155">
        <v>9002</v>
      </c>
      <c r="T208" s="197">
        <v>-8364</v>
      </c>
      <c r="U208" s="197">
        <v>-8364</v>
      </c>
      <c r="V208" s="197">
        <v>-6022</v>
      </c>
      <c r="X208" s="281">
        <f>VLOOKUP(A208,'Change in Proportion Calc'!$A$5:$H$316,8,FALSE)+I208+O208+T208</f>
        <v>17675</v>
      </c>
      <c r="Z208" s="280">
        <f t="shared" si="9"/>
        <v>94177</v>
      </c>
      <c r="AA208" s="280">
        <f t="shared" si="10"/>
        <v>14386</v>
      </c>
      <c r="AC208" s="280">
        <f>VLOOKUP(A208,'OPEB Amounts_Report'!$A$10:$F$321,6,FALSE)</f>
        <v>94177</v>
      </c>
      <c r="AD208" s="281">
        <f t="shared" si="11"/>
        <v>0</v>
      </c>
    </row>
    <row r="209" spans="1:30">
      <c r="A209" s="254">
        <v>7445</v>
      </c>
      <c r="B209" s="255" t="s">
        <v>430</v>
      </c>
      <c r="C209" s="90">
        <f>VLOOKUP(A209,'Change in Proportion Calc'!$A$5:$P$316,12,FALSE)</f>
        <v>39280</v>
      </c>
      <c r="D209" s="90">
        <f>VLOOKUP(A209,'Change in Proportion Calc'!$A$5:$P$316,13,FALSE)</f>
        <v>39280</v>
      </c>
      <c r="E209" s="90">
        <f>VLOOKUP(A209,'Change in Proportion Calc'!$A$5:$P$316,13,FALSE)</f>
        <v>39280</v>
      </c>
      <c r="F209" s="90">
        <f>VLOOKUP(A209,'Change in Proportion Calc'!$A$5:$P$316,13,FALSE)</f>
        <v>39280</v>
      </c>
      <c r="G209" s="90">
        <f>VLOOKUP(A209,'Change in Proportion Calc'!$A$5:$P$316,16,FALSE)</f>
        <v>38494</v>
      </c>
      <c r="H209" s="255"/>
      <c r="I209" s="280">
        <v>45167</v>
      </c>
      <c r="J209" s="280">
        <v>45167</v>
      </c>
      <c r="K209" s="280">
        <v>45167</v>
      </c>
      <c r="L209" s="280">
        <v>45167</v>
      </c>
      <c r="M209" s="281">
        <v>44264</v>
      </c>
      <c r="N209" s="65"/>
      <c r="O209" s="197"/>
      <c r="P209" s="197"/>
      <c r="Q209" s="197"/>
      <c r="R209" s="155"/>
      <c r="T209" s="197"/>
      <c r="U209" s="197"/>
      <c r="V209" s="197"/>
      <c r="X209" s="281">
        <f>VLOOKUP(A209,'Change in Proportion Calc'!$A$5:$H$316,8,FALSE)+I209+O209+T209</f>
        <v>84447</v>
      </c>
      <c r="Z209" s="280">
        <f t="shared" si="9"/>
        <v>375379</v>
      </c>
      <c r="AA209" s="280">
        <f t="shared" si="10"/>
        <v>0</v>
      </c>
      <c r="AC209" s="280">
        <f>VLOOKUP(A209,'OPEB Amounts_Report'!$A$10:$F$321,6,FALSE)</f>
        <v>375379</v>
      </c>
      <c r="AD209" s="281">
        <f t="shared" si="11"/>
        <v>0</v>
      </c>
    </row>
    <row r="210" spans="1:30">
      <c r="A210" s="62">
        <v>26150</v>
      </c>
      <c r="B210" s="66" t="s">
        <v>200</v>
      </c>
      <c r="C210" s="90">
        <f>VLOOKUP(A210,'Change in Proportion Calc'!$A$5:$P$316,12,FALSE)</f>
        <v>-15388</v>
      </c>
      <c r="D210" s="90">
        <f>VLOOKUP(A210,'Change in Proportion Calc'!$A$5:$P$316,13,FALSE)</f>
        <v>-15388</v>
      </c>
      <c r="E210" s="90">
        <f>VLOOKUP(A210,'Change in Proportion Calc'!$A$5:$P$316,13,FALSE)</f>
        <v>-15388</v>
      </c>
      <c r="F210" s="90">
        <f>VLOOKUP(A210,'Change in Proportion Calc'!$A$5:$P$316,13,FALSE)</f>
        <v>-15388</v>
      </c>
      <c r="G210" s="90">
        <f>VLOOKUP(A210,'Change in Proportion Calc'!$A$5:$P$316,16,FALSE)</f>
        <v>-15080</v>
      </c>
      <c r="H210" s="255"/>
      <c r="I210" s="280">
        <v>1116</v>
      </c>
      <c r="J210" s="280">
        <v>1116</v>
      </c>
      <c r="K210" s="280">
        <v>1116</v>
      </c>
      <c r="L210" s="280">
        <v>1116</v>
      </c>
      <c r="M210" s="281">
        <v>1095</v>
      </c>
      <c r="N210" s="65"/>
      <c r="O210" s="154">
        <v>143297</v>
      </c>
      <c r="P210" s="154">
        <v>143297</v>
      </c>
      <c r="Q210" s="154">
        <v>143297</v>
      </c>
      <c r="R210" s="155">
        <v>91712</v>
      </c>
      <c r="T210" s="197">
        <v>97937</v>
      </c>
      <c r="U210" s="197">
        <v>97937</v>
      </c>
      <c r="V210" s="197">
        <v>70516</v>
      </c>
      <c r="X210" s="281">
        <f>VLOOKUP(A210,'Change in Proportion Calc'!$A$5:$H$316,8,FALSE)+I210+O210+T210</f>
        <v>226962</v>
      </c>
      <c r="Z210" s="280">
        <f t="shared" si="9"/>
        <v>551202</v>
      </c>
      <c r="AA210" s="280">
        <f t="shared" si="10"/>
        <v>76632</v>
      </c>
      <c r="AC210" s="280">
        <f>VLOOKUP(A210,'OPEB Amounts_Report'!$A$10:$F$321,6,FALSE)</f>
        <v>551202</v>
      </c>
      <c r="AD210" s="281">
        <f t="shared" si="11"/>
        <v>0</v>
      </c>
    </row>
    <row r="211" spans="1:30">
      <c r="A211" s="64">
        <v>5016</v>
      </c>
      <c r="B211" s="65" t="s">
        <v>201</v>
      </c>
      <c r="C211" s="90">
        <f>VLOOKUP(A211,'Change in Proportion Calc'!$A$5:$P$316,12,FALSE)</f>
        <v>162</v>
      </c>
      <c r="D211" s="90">
        <f>VLOOKUP(A211,'Change in Proportion Calc'!$A$5:$P$316,13,FALSE)</f>
        <v>162</v>
      </c>
      <c r="E211" s="90">
        <f>VLOOKUP(A211,'Change in Proportion Calc'!$A$5:$P$316,13,FALSE)</f>
        <v>162</v>
      </c>
      <c r="F211" s="90">
        <f>VLOOKUP(A211,'Change in Proportion Calc'!$A$5:$P$316,13,FALSE)</f>
        <v>162</v>
      </c>
      <c r="G211" s="90">
        <f>VLOOKUP(A211,'Change in Proportion Calc'!$A$5:$P$316,16,FALSE)</f>
        <v>159</v>
      </c>
      <c r="H211" s="255"/>
      <c r="I211" s="280">
        <v>-13310</v>
      </c>
      <c r="J211" s="280">
        <v>-13310</v>
      </c>
      <c r="K211" s="280">
        <v>-13310</v>
      </c>
      <c r="L211" s="280">
        <v>-13310</v>
      </c>
      <c r="M211" s="281">
        <v>-13042</v>
      </c>
      <c r="N211" s="65"/>
      <c r="O211" s="154">
        <v>-13098</v>
      </c>
      <c r="P211" s="154">
        <v>-13098</v>
      </c>
      <c r="Q211" s="154">
        <v>-13098</v>
      </c>
      <c r="R211" s="155">
        <v>-8381</v>
      </c>
      <c r="T211" s="197">
        <v>21786</v>
      </c>
      <c r="U211" s="197">
        <v>21786</v>
      </c>
      <c r="V211" s="197">
        <v>15684</v>
      </c>
      <c r="X211" s="281">
        <f>VLOOKUP(A211,'Change in Proportion Calc'!$A$5:$H$316,8,FALSE)+I211+O211+T211</f>
        <v>-4460</v>
      </c>
      <c r="Z211" s="280">
        <f t="shared" si="9"/>
        <v>38277</v>
      </c>
      <c r="AA211" s="280">
        <f t="shared" si="10"/>
        <v>87549</v>
      </c>
      <c r="AC211" s="280">
        <f>VLOOKUP(A211,'OPEB Amounts_Report'!$A$10:$F$321,6,FALSE)</f>
        <v>38277</v>
      </c>
      <c r="AD211" s="281">
        <f t="shared" si="11"/>
        <v>0</v>
      </c>
    </row>
    <row r="212" spans="1:30">
      <c r="A212" s="62">
        <v>6150</v>
      </c>
      <c r="B212" s="66" t="s">
        <v>202</v>
      </c>
      <c r="C212" s="90">
        <f>VLOOKUP(A212,'Change in Proportion Calc'!$A$5:$P$316,12,FALSE)</f>
        <v>-8099</v>
      </c>
      <c r="D212" s="90">
        <f>VLOOKUP(A212,'Change in Proportion Calc'!$A$5:$P$316,13,FALSE)</f>
        <v>-8099</v>
      </c>
      <c r="E212" s="90">
        <f>VLOOKUP(A212,'Change in Proportion Calc'!$A$5:$P$316,13,FALSE)</f>
        <v>-8099</v>
      </c>
      <c r="F212" s="90">
        <f>VLOOKUP(A212,'Change in Proportion Calc'!$A$5:$P$316,13,FALSE)</f>
        <v>-8099</v>
      </c>
      <c r="G212" s="90">
        <f>VLOOKUP(A212,'Change in Proportion Calc'!$A$5:$P$316,16,FALSE)</f>
        <v>-7937</v>
      </c>
      <c r="H212" s="255"/>
      <c r="I212" s="280">
        <v>15800</v>
      </c>
      <c r="J212" s="280">
        <v>15800</v>
      </c>
      <c r="K212" s="280">
        <v>15800</v>
      </c>
      <c r="L212" s="280">
        <v>15800</v>
      </c>
      <c r="M212" s="281">
        <v>15483</v>
      </c>
      <c r="N212" s="65"/>
      <c r="O212" s="154">
        <v>16105</v>
      </c>
      <c r="P212" s="154">
        <v>16105</v>
      </c>
      <c r="Q212" s="154">
        <v>16105</v>
      </c>
      <c r="R212" s="155">
        <v>10308</v>
      </c>
      <c r="T212" s="197">
        <v>38611</v>
      </c>
      <c r="U212" s="197">
        <v>38611</v>
      </c>
      <c r="V212" s="197">
        <v>27799</v>
      </c>
      <c r="X212" s="281">
        <f>VLOOKUP(A212,'Change in Proportion Calc'!$A$5:$H$316,8,FALSE)+I212+O212+T212</f>
        <v>62417</v>
      </c>
      <c r="Z212" s="280">
        <f t="shared" si="9"/>
        <v>171811</v>
      </c>
      <c r="AA212" s="280">
        <f t="shared" si="10"/>
        <v>40333</v>
      </c>
      <c r="AC212" s="280">
        <f>VLOOKUP(A212,'OPEB Amounts_Report'!$A$10:$F$321,6,FALSE)</f>
        <v>171811</v>
      </c>
      <c r="AD212" s="281">
        <f t="shared" si="11"/>
        <v>0</v>
      </c>
    </row>
    <row r="213" spans="1:30">
      <c r="A213" s="64">
        <v>4480</v>
      </c>
      <c r="B213" s="65" t="s">
        <v>203</v>
      </c>
      <c r="C213" s="90">
        <f>VLOOKUP(A213,'Change in Proportion Calc'!$A$5:$P$316,12,FALSE)</f>
        <v>-16360</v>
      </c>
      <c r="D213" s="90">
        <f>VLOOKUP(A213,'Change in Proportion Calc'!$A$5:$P$316,13,FALSE)</f>
        <v>-16360</v>
      </c>
      <c r="E213" s="90">
        <f>VLOOKUP(A213,'Change in Proportion Calc'!$A$5:$P$316,13,FALSE)</f>
        <v>-16360</v>
      </c>
      <c r="F213" s="90">
        <f>VLOOKUP(A213,'Change in Proportion Calc'!$A$5:$P$316,13,FALSE)</f>
        <v>-16360</v>
      </c>
      <c r="G213" s="90">
        <f>VLOOKUP(A213,'Change in Proportion Calc'!$A$5:$P$316,16,FALSE)</f>
        <v>-16032</v>
      </c>
      <c r="H213" s="255"/>
      <c r="I213" s="280">
        <v>-9789</v>
      </c>
      <c r="J213" s="280">
        <v>-9789</v>
      </c>
      <c r="K213" s="280">
        <v>-9789</v>
      </c>
      <c r="L213" s="280">
        <v>-9789</v>
      </c>
      <c r="M213" s="281">
        <v>-9594</v>
      </c>
      <c r="N213" s="65"/>
      <c r="O213" s="154">
        <v>7373</v>
      </c>
      <c r="P213" s="154">
        <v>7373</v>
      </c>
      <c r="Q213" s="154">
        <v>7373</v>
      </c>
      <c r="R213" s="155">
        <v>4721</v>
      </c>
      <c r="T213" s="197">
        <v>-2918</v>
      </c>
      <c r="U213" s="197">
        <v>-2918</v>
      </c>
      <c r="V213" s="197">
        <v>-2099</v>
      </c>
      <c r="X213" s="281">
        <f>VLOOKUP(A213,'Change in Proportion Calc'!$A$5:$H$316,8,FALSE)+I213+O213+T213</f>
        <v>-21694</v>
      </c>
      <c r="Z213" s="280">
        <f t="shared" si="9"/>
        <v>19467</v>
      </c>
      <c r="AA213" s="280">
        <f t="shared" si="10"/>
        <v>125450</v>
      </c>
      <c r="AC213" s="280">
        <f>VLOOKUP(A213,'OPEB Amounts_Report'!$A$10:$F$321,6,FALSE)</f>
        <v>19467</v>
      </c>
      <c r="AD213" s="281">
        <f t="shared" si="11"/>
        <v>0</v>
      </c>
    </row>
    <row r="214" spans="1:30">
      <c r="A214" s="62">
        <v>28085</v>
      </c>
      <c r="B214" s="66" t="s">
        <v>204</v>
      </c>
      <c r="C214" s="90">
        <f>VLOOKUP(A214,'Change in Proportion Calc'!$A$5:$P$316,12,FALSE)</f>
        <v>-16846</v>
      </c>
      <c r="D214" s="90">
        <f>VLOOKUP(A214,'Change in Proportion Calc'!$A$5:$P$316,13,FALSE)</f>
        <v>-16846</v>
      </c>
      <c r="E214" s="90">
        <f>VLOOKUP(A214,'Change in Proportion Calc'!$A$5:$P$316,13,FALSE)</f>
        <v>-16846</v>
      </c>
      <c r="F214" s="90">
        <f>VLOOKUP(A214,'Change in Proportion Calc'!$A$5:$P$316,13,FALSE)</f>
        <v>-16846</v>
      </c>
      <c r="G214" s="90">
        <f>VLOOKUP(A214,'Change in Proportion Calc'!$A$5:$P$316,16,FALSE)</f>
        <v>-16508</v>
      </c>
      <c r="H214" s="255"/>
      <c r="I214" s="280">
        <v>-1116</v>
      </c>
      <c r="J214" s="280">
        <v>-1116</v>
      </c>
      <c r="K214" s="280">
        <v>-1116</v>
      </c>
      <c r="L214" s="280">
        <v>-1116</v>
      </c>
      <c r="M214" s="281">
        <v>-1095</v>
      </c>
      <c r="N214" s="65"/>
      <c r="O214" s="154">
        <v>-9023</v>
      </c>
      <c r="P214" s="154">
        <v>-9023</v>
      </c>
      <c r="Q214" s="154">
        <v>-9023</v>
      </c>
      <c r="R214" s="155">
        <v>-5774</v>
      </c>
      <c r="T214" s="197">
        <v>7975</v>
      </c>
      <c r="U214" s="197">
        <v>7975</v>
      </c>
      <c r="V214" s="197">
        <v>5742</v>
      </c>
      <c r="X214" s="281">
        <f>VLOOKUP(A214,'Change in Proportion Calc'!$A$5:$H$316,8,FALSE)+I214+O214+T214</f>
        <v>-19010</v>
      </c>
      <c r="Z214" s="280">
        <f t="shared" si="9"/>
        <v>13717</v>
      </c>
      <c r="AA214" s="280">
        <f t="shared" si="10"/>
        <v>112155</v>
      </c>
      <c r="AC214" s="280">
        <f>VLOOKUP(A214,'OPEB Amounts_Report'!$A$10:$F$321,6,FALSE)</f>
        <v>13717</v>
      </c>
      <c r="AD214" s="281">
        <f t="shared" si="11"/>
        <v>0</v>
      </c>
    </row>
    <row r="215" spans="1:30">
      <c r="A215" s="64">
        <v>3240</v>
      </c>
      <c r="B215" s="65" t="s">
        <v>205</v>
      </c>
      <c r="C215" s="90">
        <f>VLOOKUP(A215,'Change in Proportion Calc'!$A$5:$P$316,12,FALSE)</f>
        <v>56936</v>
      </c>
      <c r="D215" s="90">
        <f>VLOOKUP(A215,'Change in Proportion Calc'!$A$5:$P$316,13,FALSE)</f>
        <v>56936</v>
      </c>
      <c r="E215" s="90">
        <f>VLOOKUP(A215,'Change in Proportion Calc'!$A$5:$P$316,13,FALSE)</f>
        <v>56936</v>
      </c>
      <c r="F215" s="90">
        <f>VLOOKUP(A215,'Change in Proportion Calc'!$A$5:$P$316,13,FALSE)</f>
        <v>56936</v>
      </c>
      <c r="G215" s="90">
        <f>VLOOKUP(A215,'Change in Proportion Calc'!$A$5:$P$316,16,FALSE)</f>
        <v>55795</v>
      </c>
      <c r="H215" s="255"/>
      <c r="I215" s="280">
        <v>-44137</v>
      </c>
      <c r="J215" s="280">
        <v>-44137</v>
      </c>
      <c r="K215" s="280">
        <v>-44137</v>
      </c>
      <c r="L215" s="280">
        <v>-44137</v>
      </c>
      <c r="M215" s="281">
        <v>-43253</v>
      </c>
      <c r="N215" s="65"/>
      <c r="O215" s="154">
        <v>-118752</v>
      </c>
      <c r="P215" s="154">
        <v>-118752</v>
      </c>
      <c r="Q215" s="154">
        <v>-118752</v>
      </c>
      <c r="R215" s="155">
        <v>-75999</v>
      </c>
      <c r="T215" s="197">
        <v>-123905</v>
      </c>
      <c r="U215" s="197">
        <v>-123905</v>
      </c>
      <c r="V215" s="197">
        <v>-89210</v>
      </c>
      <c r="X215" s="281">
        <f>VLOOKUP(A215,'Change in Proportion Calc'!$A$5:$H$316,8,FALSE)+I215+O215+T215</f>
        <v>-229858</v>
      </c>
      <c r="Z215" s="280">
        <f t="shared" si="9"/>
        <v>283539</v>
      </c>
      <c r="AA215" s="280">
        <f t="shared" si="10"/>
        <v>702282</v>
      </c>
      <c r="AC215" s="280">
        <f>VLOOKUP(A215,'OPEB Amounts_Report'!$A$10:$F$321,6,FALSE)</f>
        <v>283539</v>
      </c>
      <c r="AD215" s="281">
        <f t="shared" si="11"/>
        <v>0</v>
      </c>
    </row>
    <row r="216" spans="1:30">
      <c r="A216" s="62">
        <v>12326</v>
      </c>
      <c r="B216" s="66" t="s">
        <v>206</v>
      </c>
      <c r="C216" s="90">
        <f>VLOOKUP(A216,'Change in Proportion Calc'!$A$5:$P$316,12,FALSE)</f>
        <v>-6074</v>
      </c>
      <c r="D216" s="90">
        <f>VLOOKUP(A216,'Change in Proportion Calc'!$A$5:$P$316,13,FALSE)</f>
        <v>-6074</v>
      </c>
      <c r="E216" s="90">
        <f>VLOOKUP(A216,'Change in Proportion Calc'!$A$5:$P$316,13,FALSE)</f>
        <v>-6074</v>
      </c>
      <c r="F216" s="90">
        <f>VLOOKUP(A216,'Change in Proportion Calc'!$A$5:$P$316,13,FALSE)</f>
        <v>-6074</v>
      </c>
      <c r="G216" s="90">
        <f>VLOOKUP(A216,'Change in Proportion Calc'!$A$5:$P$316,16,FALSE)</f>
        <v>-5954</v>
      </c>
      <c r="H216" s="255"/>
      <c r="I216" s="280">
        <v>16229</v>
      </c>
      <c r="J216" s="280">
        <v>16229</v>
      </c>
      <c r="K216" s="280">
        <v>16229</v>
      </c>
      <c r="L216" s="280">
        <v>16229</v>
      </c>
      <c r="M216" s="281">
        <v>15906</v>
      </c>
      <c r="N216" s="65"/>
      <c r="O216" s="154">
        <v>-3978</v>
      </c>
      <c r="P216" s="154">
        <v>-3978</v>
      </c>
      <c r="Q216" s="154">
        <v>-3978</v>
      </c>
      <c r="R216" s="155">
        <v>-2545</v>
      </c>
      <c r="T216" s="197">
        <v>-972</v>
      </c>
      <c r="U216" s="197">
        <v>-972</v>
      </c>
      <c r="V216" s="197">
        <v>-702</v>
      </c>
      <c r="X216" s="281">
        <f>VLOOKUP(A216,'Change in Proportion Calc'!$A$5:$H$316,8,FALSE)+I216+O216+T216</f>
        <v>5205</v>
      </c>
      <c r="Z216" s="280">
        <f t="shared" si="9"/>
        <v>64593</v>
      </c>
      <c r="AA216" s="280">
        <f t="shared" si="10"/>
        <v>42425</v>
      </c>
      <c r="AC216" s="280">
        <f>VLOOKUP(A216,'OPEB Amounts_Report'!$A$10:$F$321,6,FALSE)</f>
        <v>64593</v>
      </c>
      <c r="AD216" s="281">
        <f t="shared" si="11"/>
        <v>0</v>
      </c>
    </row>
    <row r="217" spans="1:30">
      <c r="A217" s="64">
        <v>29123</v>
      </c>
      <c r="B217" s="65" t="s">
        <v>207</v>
      </c>
      <c r="C217" s="90">
        <f>VLOOKUP(A217,'Change in Proportion Calc'!$A$5:$P$316,12,FALSE)</f>
        <v>-451759</v>
      </c>
      <c r="D217" s="90">
        <f>VLOOKUP(A217,'Change in Proportion Calc'!$A$5:$P$316,13,FALSE)</f>
        <v>-451759</v>
      </c>
      <c r="E217" s="90">
        <f>VLOOKUP(A217,'Change in Proportion Calc'!$A$5:$P$316,13,FALSE)</f>
        <v>-451759</v>
      </c>
      <c r="F217" s="90">
        <f>VLOOKUP(A217,'Change in Proportion Calc'!$A$5:$P$316,13,FALSE)</f>
        <v>-451759</v>
      </c>
      <c r="G217" s="90">
        <f>VLOOKUP(A217,'Change in Proportion Calc'!$A$5:$P$316,16,FALSE)</f>
        <v>-442725</v>
      </c>
      <c r="H217" s="255"/>
      <c r="I217" s="280">
        <v>3437597</v>
      </c>
      <c r="J217" s="280">
        <v>3437597</v>
      </c>
      <c r="K217" s="280">
        <v>3437597</v>
      </c>
      <c r="L217" s="280">
        <v>3437597</v>
      </c>
      <c r="M217" s="281">
        <v>3368844</v>
      </c>
      <c r="N217" s="65"/>
      <c r="O217" s="154">
        <v>-2324389</v>
      </c>
      <c r="P217" s="154">
        <v>-2324389</v>
      </c>
      <c r="Q217" s="154">
        <v>-2324389</v>
      </c>
      <c r="R217" s="155">
        <v>-1487608</v>
      </c>
      <c r="T217" s="197">
        <v>1161340</v>
      </c>
      <c r="U217" s="197">
        <v>1161340</v>
      </c>
      <c r="V217" s="197">
        <v>836163</v>
      </c>
      <c r="X217" s="281">
        <f>VLOOKUP(A217,'Change in Proportion Calc'!$A$5:$H$316,8,FALSE)+I217+O217+T217</f>
        <v>1822789</v>
      </c>
      <c r="Z217" s="280">
        <f t="shared" si="9"/>
        <v>15679138</v>
      </c>
      <c r="AA217" s="280">
        <f t="shared" si="10"/>
        <v>8386147</v>
      </c>
      <c r="AC217" s="280">
        <f>VLOOKUP(A217,'OPEB Amounts_Report'!$A$10:$F$321,6,FALSE)</f>
        <v>15679138</v>
      </c>
      <c r="AD217" s="281">
        <f t="shared" si="11"/>
        <v>0</v>
      </c>
    </row>
    <row r="218" spans="1:30">
      <c r="A218" s="62">
        <v>2318</v>
      </c>
      <c r="B218" s="66" t="s">
        <v>208</v>
      </c>
      <c r="C218" s="90">
        <f>VLOOKUP(A218,'Change in Proportion Calc'!$A$5:$P$316,12,FALSE)</f>
        <v>10610</v>
      </c>
      <c r="D218" s="90">
        <f>VLOOKUP(A218,'Change in Proportion Calc'!$A$5:$P$316,13,FALSE)</f>
        <v>10610</v>
      </c>
      <c r="E218" s="90">
        <f>VLOOKUP(A218,'Change in Proportion Calc'!$A$5:$P$316,13,FALSE)</f>
        <v>10610</v>
      </c>
      <c r="F218" s="90">
        <f>VLOOKUP(A218,'Change in Proportion Calc'!$A$5:$P$316,13,FALSE)</f>
        <v>10610</v>
      </c>
      <c r="G218" s="90">
        <f>VLOOKUP(A218,'Change in Proportion Calc'!$A$5:$P$316,16,FALSE)</f>
        <v>10396</v>
      </c>
      <c r="H218" s="255"/>
      <c r="I218" s="280">
        <v>20351</v>
      </c>
      <c r="J218" s="280">
        <v>20351</v>
      </c>
      <c r="K218" s="280">
        <v>20351</v>
      </c>
      <c r="L218" s="280">
        <v>20351</v>
      </c>
      <c r="M218" s="281">
        <v>19944</v>
      </c>
      <c r="N218" s="65"/>
      <c r="O218" s="154">
        <v>-7664</v>
      </c>
      <c r="P218" s="154">
        <v>-7664</v>
      </c>
      <c r="Q218" s="154">
        <v>-7664</v>
      </c>
      <c r="R218" s="155">
        <v>-4907</v>
      </c>
      <c r="T218" s="197">
        <v>13811</v>
      </c>
      <c r="U218" s="197">
        <v>13811</v>
      </c>
      <c r="V218" s="197">
        <v>9942</v>
      </c>
      <c r="X218" s="281">
        <f>VLOOKUP(A218,'Change in Proportion Calc'!$A$5:$H$316,8,FALSE)+I218+O218+T218</f>
        <v>37108</v>
      </c>
      <c r="Z218" s="280">
        <f t="shared" si="9"/>
        <v>157586</v>
      </c>
      <c r="AA218" s="280">
        <f t="shared" si="10"/>
        <v>20235</v>
      </c>
      <c r="AC218" s="280">
        <f>VLOOKUP(A218,'OPEB Amounts_Report'!$A$10:$F$321,6,FALSE)</f>
        <v>157586</v>
      </c>
      <c r="AD218" s="281">
        <f t="shared" si="11"/>
        <v>0</v>
      </c>
    </row>
    <row r="219" spans="1:30">
      <c r="A219" s="64">
        <v>3250</v>
      </c>
      <c r="B219" s="65" t="s">
        <v>209</v>
      </c>
      <c r="C219" s="90">
        <f>VLOOKUP(A219,'Change in Proportion Calc'!$A$5:$P$316,12,FALSE)</f>
        <v>-18061</v>
      </c>
      <c r="D219" s="90">
        <f>VLOOKUP(A219,'Change in Proportion Calc'!$A$5:$P$316,13,FALSE)</f>
        <v>-18061</v>
      </c>
      <c r="E219" s="90">
        <f>VLOOKUP(A219,'Change in Proportion Calc'!$A$5:$P$316,13,FALSE)</f>
        <v>-18061</v>
      </c>
      <c r="F219" s="90">
        <f>VLOOKUP(A219,'Change in Proportion Calc'!$A$5:$P$316,13,FALSE)</f>
        <v>-18061</v>
      </c>
      <c r="G219" s="90">
        <f>VLOOKUP(A219,'Change in Proportion Calc'!$A$5:$P$316,16,FALSE)</f>
        <v>-17698</v>
      </c>
      <c r="H219" s="255"/>
      <c r="I219" s="280">
        <v>-28595</v>
      </c>
      <c r="J219" s="280">
        <v>-28595</v>
      </c>
      <c r="K219" s="280">
        <v>-28595</v>
      </c>
      <c r="L219" s="280">
        <v>-28595</v>
      </c>
      <c r="M219" s="281">
        <v>-28021</v>
      </c>
      <c r="N219" s="65"/>
      <c r="O219" s="154">
        <v>-28330</v>
      </c>
      <c r="P219" s="154">
        <v>-28330</v>
      </c>
      <c r="Q219" s="154">
        <v>-28330</v>
      </c>
      <c r="R219" s="155">
        <v>-18129</v>
      </c>
      <c r="T219" s="197">
        <v>60493</v>
      </c>
      <c r="U219" s="197">
        <v>60493</v>
      </c>
      <c r="V219" s="197">
        <v>43557</v>
      </c>
      <c r="X219" s="281">
        <f>VLOOKUP(A219,'Change in Proportion Calc'!$A$5:$H$316,8,FALSE)+I219+O219+T219</f>
        <v>-14493</v>
      </c>
      <c r="Z219" s="280">
        <f t="shared" si="9"/>
        <v>104050</v>
      </c>
      <c r="AA219" s="280">
        <f t="shared" si="10"/>
        <v>278537</v>
      </c>
      <c r="AC219" s="280">
        <f>VLOOKUP(A219,'OPEB Amounts_Report'!$A$10:$F$321,6,FALSE)</f>
        <v>104050</v>
      </c>
      <c r="AD219" s="281">
        <f t="shared" si="11"/>
        <v>0</v>
      </c>
    </row>
    <row r="220" spans="1:30">
      <c r="A220" s="62">
        <v>2313</v>
      </c>
      <c r="B220" s="66" t="s">
        <v>210</v>
      </c>
      <c r="C220" s="90">
        <f>VLOOKUP(A220,'Change in Proportion Calc'!$A$5:$P$316,12,FALSE)</f>
        <v>4131</v>
      </c>
      <c r="D220" s="90">
        <f>VLOOKUP(A220,'Change in Proportion Calc'!$A$5:$P$316,13,FALSE)</f>
        <v>4131</v>
      </c>
      <c r="E220" s="90">
        <f>VLOOKUP(A220,'Change in Proportion Calc'!$A$5:$P$316,13,FALSE)</f>
        <v>4131</v>
      </c>
      <c r="F220" s="90">
        <f>VLOOKUP(A220,'Change in Proportion Calc'!$A$5:$P$316,13,FALSE)</f>
        <v>4131</v>
      </c>
      <c r="G220" s="90">
        <f>VLOOKUP(A220,'Change in Proportion Calc'!$A$5:$P$316,16,FALSE)</f>
        <v>4046</v>
      </c>
      <c r="H220" s="255"/>
      <c r="I220" s="280">
        <v>-1116</v>
      </c>
      <c r="J220" s="280">
        <v>-1116</v>
      </c>
      <c r="K220" s="280">
        <v>-1116</v>
      </c>
      <c r="L220" s="280">
        <v>-1116</v>
      </c>
      <c r="M220" s="281">
        <v>-1095</v>
      </c>
      <c r="N220" s="65"/>
      <c r="O220" s="154">
        <v>-4948</v>
      </c>
      <c r="P220" s="154">
        <v>-4948</v>
      </c>
      <c r="Q220" s="154">
        <v>-4948</v>
      </c>
      <c r="R220" s="155">
        <v>-3167</v>
      </c>
      <c r="T220" s="197">
        <v>-7003</v>
      </c>
      <c r="U220" s="197">
        <v>-7003</v>
      </c>
      <c r="V220" s="197">
        <v>-5040</v>
      </c>
      <c r="X220" s="281">
        <f>VLOOKUP(A220,'Change in Proportion Calc'!$A$5:$H$316,8,FALSE)+I220+O220+T220</f>
        <v>-8937</v>
      </c>
      <c r="Z220" s="280">
        <f t="shared" si="9"/>
        <v>20570</v>
      </c>
      <c r="AA220" s="280">
        <f t="shared" si="10"/>
        <v>29549</v>
      </c>
      <c r="AC220" s="280">
        <f>VLOOKUP(A220,'OPEB Amounts_Report'!$A$10:$F$321,6,FALSE)</f>
        <v>20570</v>
      </c>
      <c r="AD220" s="281">
        <f t="shared" si="11"/>
        <v>0</v>
      </c>
    </row>
    <row r="221" spans="1:30">
      <c r="A221" s="64">
        <v>4011</v>
      </c>
      <c r="B221" s="65" t="s">
        <v>211</v>
      </c>
      <c r="C221" s="90">
        <f>VLOOKUP(A221,'Change in Proportion Calc'!$A$5:$P$316,12,FALSE)</f>
        <v>237623</v>
      </c>
      <c r="D221" s="90">
        <f>VLOOKUP(A221,'Change in Proportion Calc'!$A$5:$P$316,13,FALSE)</f>
        <v>237623</v>
      </c>
      <c r="E221" s="90">
        <f>VLOOKUP(A221,'Change in Proportion Calc'!$A$5:$P$316,13,FALSE)</f>
        <v>237623</v>
      </c>
      <c r="F221" s="90">
        <f>VLOOKUP(A221,'Change in Proportion Calc'!$A$5:$P$316,13,FALSE)</f>
        <v>237623</v>
      </c>
      <c r="G221" s="90">
        <f>VLOOKUP(A221,'Change in Proportion Calc'!$A$5:$P$316,16,FALSE)</f>
        <v>232871</v>
      </c>
      <c r="H221" s="255"/>
      <c r="I221" s="280">
        <v>216562</v>
      </c>
      <c r="J221" s="280">
        <v>216562</v>
      </c>
      <c r="K221" s="280">
        <v>216562</v>
      </c>
      <c r="L221" s="280">
        <v>216562</v>
      </c>
      <c r="M221" s="281">
        <v>212230</v>
      </c>
      <c r="N221" s="65"/>
      <c r="O221" s="154">
        <v>827090</v>
      </c>
      <c r="P221" s="154">
        <v>827090</v>
      </c>
      <c r="Q221" s="154">
        <v>827090</v>
      </c>
      <c r="R221" s="155">
        <v>529336</v>
      </c>
      <c r="T221" s="197">
        <v>-298383</v>
      </c>
      <c r="U221" s="197">
        <v>-298383</v>
      </c>
      <c r="V221" s="197">
        <v>-214835</v>
      </c>
      <c r="X221" s="281">
        <f>VLOOKUP(A221,'Change in Proportion Calc'!$A$5:$H$316,8,FALSE)+I221+O221+T221</f>
        <v>982892</v>
      </c>
      <c r="Z221" s="280">
        <f t="shared" si="9"/>
        <v>4228795</v>
      </c>
      <c r="AA221" s="280">
        <f t="shared" si="10"/>
        <v>513218</v>
      </c>
      <c r="AC221" s="280">
        <f>VLOOKUP(A221,'OPEB Amounts_Report'!$A$10:$F$321,6,FALSE)</f>
        <v>4228795</v>
      </c>
      <c r="AD221" s="281">
        <f t="shared" si="11"/>
        <v>0</v>
      </c>
    </row>
    <row r="222" spans="1:30">
      <c r="A222" s="62">
        <v>31092</v>
      </c>
      <c r="B222" s="66" t="s">
        <v>212</v>
      </c>
      <c r="C222" s="90">
        <f>VLOOKUP(A222,'Change in Proportion Calc'!$A$5:$P$316,12,FALSE)</f>
        <v>7046</v>
      </c>
      <c r="D222" s="90">
        <f>VLOOKUP(A222,'Change in Proportion Calc'!$A$5:$P$316,13,FALSE)</f>
        <v>7046</v>
      </c>
      <c r="E222" s="90">
        <f>VLOOKUP(A222,'Change in Proportion Calc'!$A$5:$P$316,13,FALSE)</f>
        <v>7046</v>
      </c>
      <c r="F222" s="90">
        <f>VLOOKUP(A222,'Change in Proportion Calc'!$A$5:$P$316,13,FALSE)</f>
        <v>7046</v>
      </c>
      <c r="G222" s="90">
        <f>VLOOKUP(A222,'Change in Proportion Calc'!$A$5:$P$316,16,FALSE)</f>
        <v>6906</v>
      </c>
      <c r="H222" s="255"/>
      <c r="I222" s="280">
        <v>4294</v>
      </c>
      <c r="J222" s="280">
        <v>4294</v>
      </c>
      <c r="K222" s="280">
        <v>4294</v>
      </c>
      <c r="L222" s="280">
        <v>4294</v>
      </c>
      <c r="M222" s="281">
        <v>4206</v>
      </c>
      <c r="N222" s="65"/>
      <c r="O222" s="154">
        <v>-5724</v>
      </c>
      <c r="P222" s="154">
        <v>-5724</v>
      </c>
      <c r="Q222" s="154">
        <v>-5724</v>
      </c>
      <c r="R222" s="155">
        <v>-3664</v>
      </c>
      <c r="T222" s="197">
        <v>5835</v>
      </c>
      <c r="U222" s="197">
        <v>5835</v>
      </c>
      <c r="V222" s="197">
        <v>4203</v>
      </c>
      <c r="X222" s="281">
        <f>VLOOKUP(A222,'Change in Proportion Calc'!$A$5:$H$316,8,FALSE)+I222+O222+T222</f>
        <v>11451</v>
      </c>
      <c r="Z222" s="280">
        <f t="shared" si="9"/>
        <v>62216</v>
      </c>
      <c r="AA222" s="280">
        <f t="shared" si="10"/>
        <v>15112</v>
      </c>
      <c r="AC222" s="280">
        <f>VLOOKUP(A222,'OPEB Amounts_Report'!$A$10:$F$321,6,FALSE)</f>
        <v>62216</v>
      </c>
      <c r="AD222" s="281">
        <f t="shared" si="11"/>
        <v>0</v>
      </c>
    </row>
    <row r="223" spans="1:30">
      <c r="A223" s="127">
        <v>26081</v>
      </c>
      <c r="B223" s="128" t="s">
        <v>213</v>
      </c>
      <c r="C223" s="90">
        <f>VLOOKUP(A223,'Change in Proportion Calc'!$A$5:$P$316,12,FALSE)</f>
        <v>-70866</v>
      </c>
      <c r="D223" s="90">
        <f>VLOOKUP(A223,'Change in Proportion Calc'!$A$5:$P$316,13,FALSE)</f>
        <v>-70866</v>
      </c>
      <c r="E223" s="90">
        <f>VLOOKUP(A223,'Change in Proportion Calc'!$A$5:$P$316,13,FALSE)</f>
        <v>-70866</v>
      </c>
      <c r="F223" s="90">
        <f>VLOOKUP(A223,'Change in Proportion Calc'!$A$5:$P$316,13,FALSE)</f>
        <v>-70866</v>
      </c>
      <c r="G223" s="90">
        <f>VLOOKUP(A223,'Change in Proportion Calc'!$A$5:$P$316,16,FALSE)</f>
        <v>-69447</v>
      </c>
      <c r="H223" s="255"/>
      <c r="I223" s="280">
        <v>46369</v>
      </c>
      <c r="J223" s="280">
        <v>46369</v>
      </c>
      <c r="K223" s="280">
        <v>46369</v>
      </c>
      <c r="L223" s="280">
        <v>46369</v>
      </c>
      <c r="M223" s="281">
        <v>45443</v>
      </c>
      <c r="N223" s="65"/>
      <c r="O223" s="154">
        <v>-14747</v>
      </c>
      <c r="P223" s="154">
        <v>-14747</v>
      </c>
      <c r="Q223" s="154">
        <v>-14747</v>
      </c>
      <c r="R223" s="155">
        <v>-9438</v>
      </c>
      <c r="T223" s="197">
        <v>132950</v>
      </c>
      <c r="U223" s="197">
        <v>132950</v>
      </c>
      <c r="V223" s="197">
        <v>95722</v>
      </c>
      <c r="X223" s="281">
        <f>VLOOKUP(A223,'Change in Proportion Calc'!$A$5:$H$316,8,FALSE)+I223+O223+T223</f>
        <v>93706</v>
      </c>
      <c r="Z223" s="280">
        <f t="shared" si="9"/>
        <v>413222</v>
      </c>
      <c r="AA223" s="280">
        <f t="shared" si="10"/>
        <v>391843</v>
      </c>
      <c r="AC223" s="280">
        <f>VLOOKUP(A223,'OPEB Amounts_Report'!$A$10:$F$321,6,FALSE)</f>
        <v>413222</v>
      </c>
      <c r="AD223" s="281">
        <f t="shared" si="11"/>
        <v>0</v>
      </c>
    </row>
    <row r="224" spans="1:30">
      <c r="A224" s="62">
        <v>29305</v>
      </c>
      <c r="B224" s="66" t="s">
        <v>214</v>
      </c>
      <c r="C224" s="90">
        <f>VLOOKUP(A224,'Change in Proportion Calc'!$A$5:$P$316,12,FALSE)</f>
        <v>-10529</v>
      </c>
      <c r="D224" s="90">
        <f>VLOOKUP(A224,'Change in Proportion Calc'!$A$5:$P$316,13,FALSE)</f>
        <v>-10529</v>
      </c>
      <c r="E224" s="90">
        <f>VLOOKUP(A224,'Change in Proportion Calc'!$A$5:$P$316,13,FALSE)</f>
        <v>-10529</v>
      </c>
      <c r="F224" s="90">
        <f>VLOOKUP(A224,'Change in Proportion Calc'!$A$5:$P$316,13,FALSE)</f>
        <v>-10529</v>
      </c>
      <c r="G224" s="90">
        <f>VLOOKUP(A224,'Change in Proportion Calc'!$A$5:$P$316,16,FALSE)</f>
        <v>-10316</v>
      </c>
      <c r="H224" s="255"/>
      <c r="I224" s="280">
        <v>3349</v>
      </c>
      <c r="J224" s="280">
        <v>3349</v>
      </c>
      <c r="K224" s="280">
        <v>3349</v>
      </c>
      <c r="L224" s="280">
        <v>3349</v>
      </c>
      <c r="M224" s="281">
        <v>3281</v>
      </c>
      <c r="N224" s="65"/>
      <c r="O224" s="154">
        <v>17561</v>
      </c>
      <c r="P224" s="154">
        <v>17561</v>
      </c>
      <c r="Q224" s="154">
        <v>17561</v>
      </c>
      <c r="R224" s="155">
        <v>11237</v>
      </c>
      <c r="T224" s="197">
        <v>26065</v>
      </c>
      <c r="U224" s="197">
        <v>26065</v>
      </c>
      <c r="V224" s="197">
        <v>18765</v>
      </c>
      <c r="X224" s="281">
        <f>VLOOKUP(A224,'Change in Proportion Calc'!$A$5:$H$316,8,FALSE)+I224+O224+T224</f>
        <v>36446</v>
      </c>
      <c r="Z224" s="280">
        <f t="shared" si="9"/>
        <v>104517</v>
      </c>
      <c r="AA224" s="280">
        <f t="shared" si="10"/>
        <v>52432</v>
      </c>
      <c r="AC224" s="280">
        <f>VLOOKUP(A224,'OPEB Amounts_Report'!$A$10:$F$321,6,FALSE)</f>
        <v>104517</v>
      </c>
      <c r="AD224" s="281">
        <f t="shared" si="11"/>
        <v>0</v>
      </c>
    </row>
    <row r="225" spans="1:30">
      <c r="A225" s="64">
        <v>10032</v>
      </c>
      <c r="B225" s="65" t="s">
        <v>215</v>
      </c>
      <c r="C225" s="90">
        <f>VLOOKUP(A225,'Change in Proportion Calc'!$A$5:$P$316,12,FALSE)</f>
        <v>-4373</v>
      </c>
      <c r="D225" s="90">
        <f>VLOOKUP(A225,'Change in Proportion Calc'!$A$5:$P$316,13,FALSE)</f>
        <v>-4373</v>
      </c>
      <c r="E225" s="90">
        <f>VLOOKUP(A225,'Change in Proportion Calc'!$A$5:$P$316,13,FALSE)</f>
        <v>-4373</v>
      </c>
      <c r="F225" s="90">
        <f>VLOOKUP(A225,'Change in Proportion Calc'!$A$5:$P$316,13,FALSE)</f>
        <v>-4373</v>
      </c>
      <c r="G225" s="90">
        <f>VLOOKUP(A225,'Change in Proportion Calc'!$A$5:$P$316,16,FALSE)</f>
        <v>-4288</v>
      </c>
      <c r="H225" s="255"/>
      <c r="I225" s="280">
        <v>-15456</v>
      </c>
      <c r="J225" s="280">
        <v>-15456</v>
      </c>
      <c r="K225" s="280">
        <v>-15456</v>
      </c>
      <c r="L225" s="280">
        <v>-15456</v>
      </c>
      <c r="M225" s="281">
        <v>-15149</v>
      </c>
      <c r="N225" s="65"/>
      <c r="O225" s="154">
        <v>-14941</v>
      </c>
      <c r="P225" s="154">
        <v>-14941</v>
      </c>
      <c r="Q225" s="154">
        <v>-14941</v>
      </c>
      <c r="R225" s="155">
        <v>-9562</v>
      </c>
      <c r="T225" s="197">
        <v>22077</v>
      </c>
      <c r="U225" s="197">
        <v>22077</v>
      </c>
      <c r="V225" s="197">
        <v>15897</v>
      </c>
      <c r="X225" s="281">
        <f>VLOOKUP(A225,'Change in Proportion Calc'!$A$5:$H$316,8,FALSE)+I225+O225+T225</f>
        <v>-12693</v>
      </c>
      <c r="Z225" s="280">
        <f t="shared" si="9"/>
        <v>37974</v>
      </c>
      <c r="AA225" s="280">
        <f t="shared" si="10"/>
        <v>122741</v>
      </c>
      <c r="AC225" s="280">
        <f>VLOOKUP(A225,'OPEB Amounts_Report'!$A$10:$F$321,6,FALSE)</f>
        <v>37974</v>
      </c>
      <c r="AD225" s="281">
        <f t="shared" si="11"/>
        <v>0</v>
      </c>
    </row>
    <row r="226" spans="1:30">
      <c r="A226" s="62">
        <v>32107</v>
      </c>
      <c r="B226" s="66" t="s">
        <v>216</v>
      </c>
      <c r="C226" s="90">
        <f>VLOOKUP(A226,'Change in Proportion Calc'!$A$5:$P$316,12,FALSE)</f>
        <v>-11257</v>
      </c>
      <c r="D226" s="90">
        <f>VLOOKUP(A226,'Change in Proportion Calc'!$A$5:$P$316,13,FALSE)</f>
        <v>-11257</v>
      </c>
      <c r="E226" s="90">
        <f>VLOOKUP(A226,'Change in Proportion Calc'!$A$5:$P$316,13,FALSE)</f>
        <v>-11257</v>
      </c>
      <c r="F226" s="90">
        <f>VLOOKUP(A226,'Change in Proportion Calc'!$A$5:$P$316,13,FALSE)</f>
        <v>-11257</v>
      </c>
      <c r="G226" s="90">
        <f>VLOOKUP(A226,'Change in Proportion Calc'!$A$5:$P$316,16,FALSE)</f>
        <v>-11034</v>
      </c>
      <c r="H226" s="255"/>
      <c r="I226" s="280">
        <v>-50491</v>
      </c>
      <c r="J226" s="280">
        <v>-50491</v>
      </c>
      <c r="K226" s="280">
        <v>-50491</v>
      </c>
      <c r="L226" s="280">
        <v>-50491</v>
      </c>
      <c r="M226" s="281">
        <v>-49481</v>
      </c>
      <c r="N226" s="65"/>
      <c r="O226" s="154">
        <v>-73735</v>
      </c>
      <c r="P226" s="154">
        <v>-73735</v>
      </c>
      <c r="Q226" s="154">
        <v>-73735</v>
      </c>
      <c r="R226" s="155">
        <v>-47189</v>
      </c>
      <c r="T226" s="197">
        <v>22758</v>
      </c>
      <c r="U226" s="197">
        <v>22758</v>
      </c>
      <c r="V226" s="197">
        <v>16386</v>
      </c>
      <c r="X226" s="281">
        <f>VLOOKUP(A226,'Change in Proportion Calc'!$A$5:$H$316,8,FALSE)+I226+O226+T226</f>
        <v>-112726</v>
      </c>
      <c r="Z226" s="280">
        <f t="shared" si="9"/>
        <v>39144</v>
      </c>
      <c r="AA226" s="280">
        <f t="shared" si="10"/>
        <v>451675</v>
      </c>
      <c r="AC226" s="280">
        <f>VLOOKUP(A226,'OPEB Amounts_Report'!$A$10:$F$321,6,FALSE)</f>
        <v>39144</v>
      </c>
      <c r="AD226" s="281">
        <f t="shared" si="11"/>
        <v>0</v>
      </c>
    </row>
    <row r="227" spans="1:30">
      <c r="A227" s="64">
        <v>3260</v>
      </c>
      <c r="B227" s="65" t="s">
        <v>217</v>
      </c>
      <c r="C227" s="90">
        <f>VLOOKUP(A227,'Change in Proportion Calc'!$A$5:$P$316,12,FALSE)</f>
        <v>-185304</v>
      </c>
      <c r="D227" s="90">
        <f>VLOOKUP(A227,'Change in Proportion Calc'!$A$5:$P$316,13,FALSE)</f>
        <v>-185304</v>
      </c>
      <c r="E227" s="90">
        <f>VLOOKUP(A227,'Change in Proportion Calc'!$A$5:$P$316,13,FALSE)</f>
        <v>-185304</v>
      </c>
      <c r="F227" s="90">
        <f>VLOOKUP(A227,'Change in Proportion Calc'!$A$5:$P$316,13,FALSE)</f>
        <v>-185304</v>
      </c>
      <c r="G227" s="90">
        <f>VLOOKUP(A227,'Change in Proportion Calc'!$A$5:$P$316,16,FALSE)</f>
        <v>-181597</v>
      </c>
      <c r="H227" s="255"/>
      <c r="I227" s="280">
        <v>-292127</v>
      </c>
      <c r="J227" s="280">
        <v>-292127</v>
      </c>
      <c r="K227" s="280">
        <v>-292127</v>
      </c>
      <c r="L227" s="280">
        <v>-292127</v>
      </c>
      <c r="M227" s="281">
        <v>-286282</v>
      </c>
      <c r="N227" s="65"/>
      <c r="O227" s="154">
        <v>-886272</v>
      </c>
      <c r="P227" s="154">
        <v>-886272</v>
      </c>
      <c r="Q227" s="154">
        <v>-886272</v>
      </c>
      <c r="R227" s="155">
        <v>-567212</v>
      </c>
      <c r="T227" s="197">
        <v>586262</v>
      </c>
      <c r="U227" s="197">
        <v>586262</v>
      </c>
      <c r="V227" s="197">
        <v>422109</v>
      </c>
      <c r="X227" s="281">
        <f>VLOOKUP(A227,'Change in Proportion Calc'!$A$5:$H$316,8,FALSE)+I227+O227+T227</f>
        <v>-777441</v>
      </c>
      <c r="Z227" s="280">
        <f t="shared" si="9"/>
        <v>1008371</v>
      </c>
      <c r="AA227" s="280">
        <f t="shared" si="10"/>
        <v>4425232</v>
      </c>
      <c r="AC227" s="280">
        <f>VLOOKUP(A227,'OPEB Amounts_Report'!$A$10:$F$321,6,FALSE)</f>
        <v>1008371</v>
      </c>
      <c r="AD227" s="281">
        <f t="shared" si="11"/>
        <v>0</v>
      </c>
    </row>
    <row r="228" spans="1:30">
      <c r="A228" s="62">
        <v>4390</v>
      </c>
      <c r="B228" s="66" t="s">
        <v>218</v>
      </c>
      <c r="C228" s="90">
        <f>VLOOKUP(A228,'Change in Proportion Calc'!$A$5:$P$316,12,FALSE)</f>
        <v>3888</v>
      </c>
      <c r="D228" s="90">
        <f>VLOOKUP(A228,'Change in Proportion Calc'!$A$5:$P$316,13,FALSE)</f>
        <v>3888</v>
      </c>
      <c r="E228" s="90">
        <f>VLOOKUP(A228,'Change in Proportion Calc'!$A$5:$P$316,13,FALSE)</f>
        <v>3888</v>
      </c>
      <c r="F228" s="90">
        <f>VLOOKUP(A228,'Change in Proportion Calc'!$A$5:$P$316,13,FALSE)</f>
        <v>3888</v>
      </c>
      <c r="G228" s="90">
        <f>VLOOKUP(A228,'Change in Proportion Calc'!$A$5:$P$316,16,FALSE)</f>
        <v>3808</v>
      </c>
      <c r="H228" s="255"/>
      <c r="I228" s="280">
        <v>1546</v>
      </c>
      <c r="J228" s="280">
        <v>1546</v>
      </c>
      <c r="K228" s="280">
        <v>1546</v>
      </c>
      <c r="L228" s="280">
        <v>1546</v>
      </c>
      <c r="M228" s="281">
        <v>1513</v>
      </c>
      <c r="N228" s="65"/>
      <c r="O228" s="154">
        <v>-1941</v>
      </c>
      <c r="P228" s="154">
        <v>-1941</v>
      </c>
      <c r="Q228" s="154">
        <v>-1941</v>
      </c>
      <c r="R228" s="155">
        <v>-1240</v>
      </c>
      <c r="T228" s="197">
        <v>4279</v>
      </c>
      <c r="U228" s="197">
        <v>4279</v>
      </c>
      <c r="V228" s="197">
        <v>3083</v>
      </c>
      <c r="X228" s="281">
        <f>VLOOKUP(A228,'Change in Proportion Calc'!$A$5:$H$316,8,FALSE)+I228+O228+T228</f>
        <v>7771</v>
      </c>
      <c r="Z228" s="280">
        <f t="shared" si="9"/>
        <v>32873</v>
      </c>
      <c r="AA228" s="280">
        <f t="shared" si="10"/>
        <v>5122</v>
      </c>
      <c r="AC228" s="280">
        <f>VLOOKUP(A228,'OPEB Amounts_Report'!$A$10:$F$321,6,FALSE)</f>
        <v>32873</v>
      </c>
      <c r="AD228" s="281">
        <f t="shared" si="11"/>
        <v>0</v>
      </c>
    </row>
    <row r="229" spans="1:30">
      <c r="A229" s="64">
        <v>3270</v>
      </c>
      <c r="B229" s="65" t="s">
        <v>219</v>
      </c>
      <c r="C229" s="90">
        <f>VLOOKUP(A229,'Change in Proportion Calc'!$A$5:$P$316,12,FALSE)</f>
        <v>-31343</v>
      </c>
      <c r="D229" s="90">
        <f>VLOOKUP(A229,'Change in Proportion Calc'!$A$5:$P$316,13,FALSE)</f>
        <v>-31343</v>
      </c>
      <c r="E229" s="90">
        <f>VLOOKUP(A229,'Change in Proportion Calc'!$A$5:$P$316,13,FALSE)</f>
        <v>-31343</v>
      </c>
      <c r="F229" s="90">
        <f>VLOOKUP(A229,'Change in Proportion Calc'!$A$5:$P$316,13,FALSE)</f>
        <v>-31343</v>
      </c>
      <c r="G229" s="90">
        <f>VLOOKUP(A229,'Change in Proportion Calc'!$A$5:$P$316,16,FALSE)</f>
        <v>-30716</v>
      </c>
      <c r="H229" s="255"/>
      <c r="I229" s="280">
        <v>-29968</v>
      </c>
      <c r="J229" s="280">
        <v>-29968</v>
      </c>
      <c r="K229" s="280">
        <v>-29968</v>
      </c>
      <c r="L229" s="280">
        <v>-29968</v>
      </c>
      <c r="M229" s="281">
        <v>-29370</v>
      </c>
      <c r="N229" s="65"/>
      <c r="O229" s="154">
        <v>-8732</v>
      </c>
      <c r="P229" s="154">
        <v>-8732</v>
      </c>
      <c r="Q229" s="154">
        <v>-8732</v>
      </c>
      <c r="R229" s="155">
        <v>-5587</v>
      </c>
      <c r="T229" s="197">
        <v>1167</v>
      </c>
      <c r="U229" s="197">
        <v>1167</v>
      </c>
      <c r="V229" s="197">
        <v>841</v>
      </c>
      <c r="X229" s="281">
        <f>VLOOKUP(A229,'Change in Proportion Calc'!$A$5:$H$316,8,FALSE)+I229+O229+T229</f>
        <v>-68876</v>
      </c>
      <c r="Z229" s="280">
        <f t="shared" si="9"/>
        <v>2008</v>
      </c>
      <c r="AA229" s="280">
        <f t="shared" si="10"/>
        <v>298413</v>
      </c>
      <c r="AC229" s="280">
        <f>VLOOKUP(A229,'OPEB Amounts_Report'!$A$10:$F$321,6,FALSE)</f>
        <v>2008</v>
      </c>
      <c r="AD229" s="281">
        <f t="shared" si="11"/>
        <v>0</v>
      </c>
    </row>
    <row r="230" spans="1:30">
      <c r="A230" s="62">
        <v>29303</v>
      </c>
      <c r="B230" s="66" t="s">
        <v>220</v>
      </c>
      <c r="C230" s="90">
        <f>VLOOKUP(A230,'Change in Proportion Calc'!$A$5:$P$316,12,FALSE)</f>
        <v>22191</v>
      </c>
      <c r="D230" s="90">
        <f>VLOOKUP(A230,'Change in Proportion Calc'!$A$5:$P$316,13,FALSE)</f>
        <v>22191</v>
      </c>
      <c r="E230" s="90">
        <f>VLOOKUP(A230,'Change in Proportion Calc'!$A$5:$P$316,13,FALSE)</f>
        <v>22191</v>
      </c>
      <c r="F230" s="90">
        <f>VLOOKUP(A230,'Change in Proportion Calc'!$A$5:$P$316,13,FALSE)</f>
        <v>22191</v>
      </c>
      <c r="G230" s="90">
        <f>VLOOKUP(A230,'Change in Proportion Calc'!$A$5:$P$316,16,FALSE)</f>
        <v>21748</v>
      </c>
      <c r="H230" s="255"/>
      <c r="I230" s="280">
        <v>59078</v>
      </c>
      <c r="J230" s="280">
        <v>59078</v>
      </c>
      <c r="K230" s="280">
        <v>59078</v>
      </c>
      <c r="L230" s="280">
        <v>59078</v>
      </c>
      <c r="M230" s="281">
        <v>57896</v>
      </c>
      <c r="N230" s="65"/>
      <c r="O230" s="154">
        <v>25613</v>
      </c>
      <c r="P230" s="154">
        <v>25613</v>
      </c>
      <c r="Q230" s="154">
        <v>25613</v>
      </c>
      <c r="R230" s="155">
        <v>16393</v>
      </c>
      <c r="T230" s="197">
        <v>-25092</v>
      </c>
      <c r="U230" s="197">
        <v>-25092</v>
      </c>
      <c r="V230" s="197">
        <v>-18067</v>
      </c>
      <c r="X230" s="281">
        <f>VLOOKUP(A230,'Change in Proportion Calc'!$A$5:$H$316,8,FALSE)+I230+O230+T230</f>
        <v>81790</v>
      </c>
      <c r="Z230" s="280">
        <f t="shared" si="9"/>
        <v>413261</v>
      </c>
      <c r="AA230" s="280">
        <f t="shared" si="10"/>
        <v>43159</v>
      </c>
      <c r="AC230" s="280">
        <f>VLOOKUP(A230,'OPEB Amounts_Report'!$A$10:$F$321,6,FALSE)</f>
        <v>413261</v>
      </c>
      <c r="AD230" s="281">
        <f t="shared" si="11"/>
        <v>0</v>
      </c>
    </row>
    <row r="231" spans="1:30">
      <c r="A231" s="64">
        <v>3280</v>
      </c>
      <c r="B231" s="65" t="s">
        <v>221</v>
      </c>
      <c r="C231" s="90">
        <f>VLOOKUP(A231,'Change in Proportion Calc'!$A$5:$P$316,12,FALSE)</f>
        <v>176800</v>
      </c>
      <c r="D231" s="90">
        <f>VLOOKUP(A231,'Change in Proportion Calc'!$A$5:$P$316,13,FALSE)</f>
        <v>176800</v>
      </c>
      <c r="E231" s="90">
        <f>VLOOKUP(A231,'Change in Proportion Calc'!$A$5:$P$316,13,FALSE)</f>
        <v>176800</v>
      </c>
      <c r="F231" s="90">
        <f>VLOOKUP(A231,'Change in Proportion Calc'!$A$5:$P$316,13,FALSE)</f>
        <v>176800</v>
      </c>
      <c r="G231" s="90">
        <f>VLOOKUP(A231,'Change in Proportion Calc'!$A$5:$P$316,16,FALSE)</f>
        <v>173264</v>
      </c>
      <c r="H231" s="255"/>
      <c r="I231" s="280">
        <v>-181527</v>
      </c>
      <c r="J231" s="280">
        <v>-181527</v>
      </c>
      <c r="K231" s="280">
        <v>-181527</v>
      </c>
      <c r="L231" s="280">
        <v>-181527</v>
      </c>
      <c r="M231" s="281">
        <v>-177898</v>
      </c>
      <c r="N231" s="65"/>
      <c r="O231" s="154">
        <v>-823015</v>
      </c>
      <c r="P231" s="154">
        <v>-823015</v>
      </c>
      <c r="Q231" s="154">
        <v>-823015</v>
      </c>
      <c r="R231" s="155">
        <v>-526729</v>
      </c>
      <c r="T231" s="197">
        <v>685464</v>
      </c>
      <c r="U231" s="197">
        <v>685464</v>
      </c>
      <c r="V231" s="197">
        <v>493533</v>
      </c>
      <c r="X231" s="281">
        <f>VLOOKUP(A231,'Change in Proportion Calc'!$A$5:$H$316,8,FALSE)+I231+O231+T231</f>
        <v>-142278</v>
      </c>
      <c r="Z231" s="280">
        <f t="shared" si="9"/>
        <v>2059461</v>
      </c>
      <c r="AA231" s="280">
        <f t="shared" si="10"/>
        <v>2895238</v>
      </c>
      <c r="AC231" s="280">
        <f>VLOOKUP(A231,'OPEB Amounts_Report'!$A$10:$F$321,6,FALSE)</f>
        <v>2059461</v>
      </c>
      <c r="AD231" s="281">
        <f t="shared" si="11"/>
        <v>0</v>
      </c>
    </row>
    <row r="232" spans="1:30">
      <c r="A232" s="62">
        <v>4260</v>
      </c>
      <c r="B232" s="66" t="s">
        <v>222</v>
      </c>
      <c r="C232" s="90">
        <f>VLOOKUP(A232,'Change in Proportion Calc'!$A$5:$P$316,12,FALSE)</f>
        <v>-13930</v>
      </c>
      <c r="D232" s="90">
        <f>VLOOKUP(A232,'Change in Proportion Calc'!$A$5:$P$316,13,FALSE)</f>
        <v>-13930</v>
      </c>
      <c r="E232" s="90">
        <f>VLOOKUP(A232,'Change in Proportion Calc'!$A$5:$P$316,13,FALSE)</f>
        <v>-13930</v>
      </c>
      <c r="F232" s="90">
        <f>VLOOKUP(A232,'Change in Proportion Calc'!$A$5:$P$316,13,FALSE)</f>
        <v>-13930</v>
      </c>
      <c r="G232" s="90">
        <f>VLOOKUP(A232,'Change in Proportion Calc'!$A$5:$P$316,16,FALSE)</f>
        <v>-13653</v>
      </c>
      <c r="H232" s="255"/>
      <c r="I232" s="280">
        <v>-6011</v>
      </c>
      <c r="J232" s="280">
        <v>-6011</v>
      </c>
      <c r="K232" s="280">
        <v>-6011</v>
      </c>
      <c r="L232" s="280">
        <v>-6011</v>
      </c>
      <c r="M232" s="281">
        <v>-5890</v>
      </c>
      <c r="N232" s="65"/>
      <c r="O232" s="154">
        <v>12128</v>
      </c>
      <c r="P232" s="154">
        <v>12128</v>
      </c>
      <c r="Q232" s="154">
        <v>12128</v>
      </c>
      <c r="R232" s="155">
        <v>7760</v>
      </c>
      <c r="T232" s="197">
        <v>15172</v>
      </c>
      <c r="U232" s="197">
        <v>15172</v>
      </c>
      <c r="V232" s="197">
        <v>10924</v>
      </c>
      <c r="X232" s="281">
        <f>VLOOKUP(A232,'Change in Proportion Calc'!$A$5:$H$316,8,FALSE)+I232+O232+T232</f>
        <v>7359</v>
      </c>
      <c r="Z232" s="280">
        <f t="shared" si="9"/>
        <v>58112</v>
      </c>
      <c r="AA232" s="280">
        <f t="shared" si="10"/>
        <v>93296</v>
      </c>
      <c r="AC232" s="280">
        <f>VLOOKUP(A232,'OPEB Amounts_Report'!$A$10:$F$321,6,FALSE)</f>
        <v>58112</v>
      </c>
      <c r="AD232" s="281">
        <f t="shared" si="11"/>
        <v>0</v>
      </c>
    </row>
    <row r="233" spans="1:30">
      <c r="A233" s="64">
        <v>1003</v>
      </c>
      <c r="B233" s="65" t="s">
        <v>223</v>
      </c>
      <c r="C233" s="90">
        <f>VLOOKUP(A233,'Change in Proportion Calc'!$A$5:$P$316,12,FALSE)</f>
        <v>-295854</v>
      </c>
      <c r="D233" s="90">
        <f>VLOOKUP(A233,'Change in Proportion Calc'!$A$5:$P$316,13,FALSE)</f>
        <v>-295854</v>
      </c>
      <c r="E233" s="90">
        <f>VLOOKUP(A233,'Change in Proportion Calc'!$A$5:$P$316,13,FALSE)</f>
        <v>-295854</v>
      </c>
      <c r="F233" s="90">
        <f>VLOOKUP(A233,'Change in Proportion Calc'!$A$5:$P$316,13,FALSE)</f>
        <v>-295854</v>
      </c>
      <c r="G233" s="90">
        <f>VLOOKUP(A233,'Change in Proportion Calc'!$A$5:$P$316,16,FALSE)</f>
        <v>-289939</v>
      </c>
      <c r="H233" s="255"/>
      <c r="I233" s="280">
        <v>-173713</v>
      </c>
      <c r="J233" s="280">
        <v>-173713</v>
      </c>
      <c r="K233" s="280">
        <v>-173713</v>
      </c>
      <c r="L233" s="280">
        <v>-173713</v>
      </c>
      <c r="M233" s="281">
        <v>-170240</v>
      </c>
      <c r="N233" s="65"/>
      <c r="O233" s="154">
        <v>-126513</v>
      </c>
      <c r="P233" s="154">
        <v>-126513</v>
      </c>
      <c r="Q233" s="154">
        <v>-126513</v>
      </c>
      <c r="R233" s="155">
        <v>-80969</v>
      </c>
      <c r="T233" s="197">
        <v>-457689</v>
      </c>
      <c r="U233" s="197">
        <v>-457689</v>
      </c>
      <c r="V233" s="197">
        <v>-329536</v>
      </c>
      <c r="X233" s="281">
        <f>VLOOKUP(A233,'Change in Proportion Calc'!$A$5:$H$316,8,FALSE)+I233+O233+T233</f>
        <v>-1053770</v>
      </c>
      <c r="Z233" s="280">
        <f t="shared" si="9"/>
        <v>0</v>
      </c>
      <c r="AA233" s="280">
        <f t="shared" si="10"/>
        <v>3285954</v>
      </c>
      <c r="AC233" s="280">
        <f>VLOOKUP(A233,'OPEB Amounts_Report'!$A$10:$F$321,6,FALSE)</f>
        <v>0</v>
      </c>
      <c r="AD233" s="281">
        <f t="shared" si="11"/>
        <v>0</v>
      </c>
    </row>
    <row r="234" spans="1:30">
      <c r="A234" s="62">
        <v>3290</v>
      </c>
      <c r="B234" s="66" t="s">
        <v>224</v>
      </c>
      <c r="C234" s="90">
        <f>VLOOKUP(A234,'Change in Proportion Calc'!$A$5:$P$316,12,FALSE)</f>
        <v>-260948</v>
      </c>
      <c r="D234" s="90">
        <f>VLOOKUP(A234,'Change in Proportion Calc'!$A$5:$P$316,13,FALSE)</f>
        <v>-260948</v>
      </c>
      <c r="E234" s="90">
        <f>VLOOKUP(A234,'Change in Proportion Calc'!$A$5:$P$316,13,FALSE)</f>
        <v>-260948</v>
      </c>
      <c r="F234" s="90">
        <f>VLOOKUP(A234,'Change in Proportion Calc'!$A$5:$P$316,13,FALSE)</f>
        <v>-260948</v>
      </c>
      <c r="G234" s="90">
        <f>VLOOKUP(A234,'Change in Proportion Calc'!$A$5:$P$316,16,FALSE)</f>
        <v>-255729</v>
      </c>
      <c r="H234" s="255"/>
      <c r="I234" s="280">
        <v>-691074</v>
      </c>
      <c r="J234" s="280">
        <v>-691074</v>
      </c>
      <c r="K234" s="280">
        <v>-691074</v>
      </c>
      <c r="L234" s="280">
        <v>-691074</v>
      </c>
      <c r="M234" s="281">
        <v>-677255</v>
      </c>
      <c r="N234" s="65"/>
      <c r="O234" s="154">
        <v>-17269</v>
      </c>
      <c r="P234" s="154">
        <v>-17269</v>
      </c>
      <c r="Q234" s="154">
        <v>-17269</v>
      </c>
      <c r="R234" s="155">
        <v>-11054</v>
      </c>
      <c r="T234" s="197">
        <v>446699</v>
      </c>
      <c r="U234" s="197">
        <v>446699</v>
      </c>
      <c r="V234" s="197">
        <v>321624</v>
      </c>
      <c r="X234" s="281">
        <f>VLOOKUP(A234,'Change in Proportion Calc'!$A$5:$H$316,8,FALSE)+I234+O234+T234</f>
        <v>-522592</v>
      </c>
      <c r="Z234" s="280">
        <f t="shared" si="9"/>
        <v>768323</v>
      </c>
      <c r="AA234" s="280">
        <f t="shared" si="10"/>
        <v>4095590</v>
      </c>
      <c r="AC234" s="280">
        <f>VLOOKUP(A234,'OPEB Amounts_Report'!$A$10:$F$321,6,FALSE)</f>
        <v>768323</v>
      </c>
      <c r="AD234" s="281">
        <f t="shared" si="11"/>
        <v>0</v>
      </c>
    </row>
    <row r="235" spans="1:30">
      <c r="A235" s="64">
        <v>1002</v>
      </c>
      <c r="B235" s="65" t="s">
        <v>225</v>
      </c>
      <c r="C235" s="90">
        <f>VLOOKUP(A235,'Change in Proportion Calc'!$A$5:$P$316,12,FALSE)</f>
        <v>-361213</v>
      </c>
      <c r="D235" s="90">
        <f>VLOOKUP(A235,'Change in Proportion Calc'!$A$5:$P$316,13,FALSE)</f>
        <v>-361213</v>
      </c>
      <c r="E235" s="90">
        <f>VLOOKUP(A235,'Change in Proportion Calc'!$A$5:$P$316,13,FALSE)</f>
        <v>-361213</v>
      </c>
      <c r="F235" s="90">
        <f>VLOOKUP(A235,'Change in Proportion Calc'!$A$5:$P$316,13,FALSE)</f>
        <v>-361213</v>
      </c>
      <c r="G235" s="90">
        <f>VLOOKUP(A235,'Change in Proportion Calc'!$A$5:$P$316,16,FALSE)</f>
        <v>-353989</v>
      </c>
      <c r="H235" s="255"/>
      <c r="I235" s="280">
        <v>506027</v>
      </c>
      <c r="J235" s="280">
        <v>506027</v>
      </c>
      <c r="K235" s="280">
        <v>506027</v>
      </c>
      <c r="L235" s="280">
        <v>506027</v>
      </c>
      <c r="M235" s="281">
        <v>495904</v>
      </c>
      <c r="N235" s="65"/>
      <c r="O235" s="154">
        <v>204905</v>
      </c>
      <c r="P235" s="154">
        <v>204905</v>
      </c>
      <c r="Q235" s="154">
        <v>204905</v>
      </c>
      <c r="R235" s="155">
        <v>131138</v>
      </c>
      <c r="T235" s="197">
        <v>-334465</v>
      </c>
      <c r="U235" s="197">
        <v>-334465</v>
      </c>
      <c r="V235" s="197">
        <v>-240815</v>
      </c>
      <c r="X235" s="281">
        <f>VLOOKUP(A235,'Change in Proportion Calc'!$A$5:$H$316,8,FALSE)+I235+O235+T235</f>
        <v>15254</v>
      </c>
      <c r="Z235" s="280">
        <f t="shared" si="9"/>
        <v>2554933</v>
      </c>
      <c r="AA235" s="280">
        <f t="shared" si="10"/>
        <v>2374121</v>
      </c>
      <c r="AC235" s="280">
        <f>VLOOKUP(A235,'OPEB Amounts_Report'!$A$10:$F$321,6,FALSE)</f>
        <v>2554933</v>
      </c>
      <c r="AD235" s="281">
        <f t="shared" si="11"/>
        <v>0</v>
      </c>
    </row>
    <row r="236" spans="1:30" s="216" customFormat="1">
      <c r="A236" s="254">
        <v>4270</v>
      </c>
      <c r="B236" s="255" t="s">
        <v>449</v>
      </c>
      <c r="C236" s="90">
        <f>VLOOKUP(A236,'Change in Proportion Calc'!$A$5:$P$316,12,FALSE)</f>
        <v>306464</v>
      </c>
      <c r="D236" s="90">
        <f>VLOOKUP(A236,'Change in Proportion Calc'!$A$5:$P$316,13,FALSE)</f>
        <v>306464</v>
      </c>
      <c r="E236" s="90">
        <f>VLOOKUP(A236,'Change in Proportion Calc'!$A$5:$P$316,13,FALSE)</f>
        <v>306464</v>
      </c>
      <c r="F236" s="90">
        <f>VLOOKUP(A236,'Change in Proportion Calc'!$A$5:$P$316,13,FALSE)</f>
        <v>306464</v>
      </c>
      <c r="G236" s="90">
        <f>VLOOKUP(A236,'Change in Proportion Calc'!$A$5:$P$316,16,FALSE)</f>
        <v>300335</v>
      </c>
      <c r="H236" s="255"/>
      <c r="I236" s="280">
        <v>0</v>
      </c>
      <c r="J236" s="280">
        <v>0</v>
      </c>
      <c r="K236" s="280">
        <v>0</v>
      </c>
      <c r="L236" s="280">
        <v>0</v>
      </c>
      <c r="M236" s="280">
        <v>0</v>
      </c>
      <c r="N236" s="255"/>
      <c r="O236" s="280">
        <v>0</v>
      </c>
      <c r="P236" s="280">
        <v>0</v>
      </c>
      <c r="Q236" s="280">
        <v>0</v>
      </c>
      <c r="R236" s="280">
        <v>0</v>
      </c>
      <c r="T236" s="280">
        <v>0</v>
      </c>
      <c r="U236" s="280">
        <v>0</v>
      </c>
      <c r="V236" s="280">
        <v>0</v>
      </c>
      <c r="X236" s="281">
        <f>VLOOKUP(A236,'Change in Proportion Calc'!$A$5:$H$316,8,FALSE)+I236+O236+T236</f>
        <v>306464</v>
      </c>
      <c r="Z236" s="280">
        <f t="shared" si="9"/>
        <v>1526191</v>
      </c>
      <c r="AA236" s="280">
        <f t="shared" si="10"/>
        <v>0</v>
      </c>
      <c r="AC236" s="280">
        <f>VLOOKUP(A236,'OPEB Amounts_Report'!$A$10:$F$321,6,FALSE)</f>
        <v>1526191</v>
      </c>
      <c r="AD236" s="281">
        <f t="shared" si="11"/>
        <v>0</v>
      </c>
    </row>
    <row r="237" spans="1:30">
      <c r="A237" s="62">
        <v>24072</v>
      </c>
      <c r="B237" s="66" t="s">
        <v>226</v>
      </c>
      <c r="C237" s="90">
        <f>VLOOKUP(A237,'Change in Proportion Calc'!$A$5:$P$316,12,FALSE)</f>
        <v>105286</v>
      </c>
      <c r="D237" s="90">
        <f>VLOOKUP(A237,'Change in Proportion Calc'!$A$5:$P$316,13,FALSE)</f>
        <v>105286</v>
      </c>
      <c r="E237" s="90">
        <f>VLOOKUP(A237,'Change in Proportion Calc'!$A$5:$P$316,13,FALSE)</f>
        <v>105286</v>
      </c>
      <c r="F237" s="90">
        <f>VLOOKUP(A237,'Change in Proportion Calc'!$A$5:$P$316,13,FALSE)</f>
        <v>105286</v>
      </c>
      <c r="G237" s="90">
        <f>VLOOKUP(A237,'Change in Proportion Calc'!$A$5:$P$316,16,FALSE)</f>
        <v>103182</v>
      </c>
      <c r="H237" s="255"/>
      <c r="I237" s="280">
        <v>15199</v>
      </c>
      <c r="J237" s="280">
        <v>15199</v>
      </c>
      <c r="K237" s="280">
        <v>15199</v>
      </c>
      <c r="L237" s="280">
        <v>15199</v>
      </c>
      <c r="M237" s="281">
        <v>14894</v>
      </c>
      <c r="N237" s="65"/>
      <c r="O237" s="154">
        <v>33083</v>
      </c>
      <c r="P237" s="154">
        <v>33083</v>
      </c>
      <c r="Q237" s="154">
        <v>33083</v>
      </c>
      <c r="R237" s="155">
        <v>21175</v>
      </c>
      <c r="T237" s="197">
        <v>-87142</v>
      </c>
      <c r="U237" s="197">
        <v>-87142</v>
      </c>
      <c r="V237" s="197">
        <v>-62741</v>
      </c>
      <c r="X237" s="281">
        <f>VLOOKUP(A237,'Change in Proportion Calc'!$A$5:$H$316,8,FALSE)+I237+O237+T237</f>
        <v>66426</v>
      </c>
      <c r="Z237" s="280">
        <f t="shared" si="9"/>
        <v>672158</v>
      </c>
      <c r="AA237" s="280">
        <f t="shared" si="10"/>
        <v>149883</v>
      </c>
      <c r="AC237" s="280">
        <f>VLOOKUP(A237,'OPEB Amounts_Report'!$A$10:$F$321,6,FALSE)</f>
        <v>672158</v>
      </c>
      <c r="AD237" s="281">
        <f t="shared" si="11"/>
        <v>0</v>
      </c>
    </row>
    <row r="238" spans="1:30">
      <c r="A238" s="64">
        <v>14366</v>
      </c>
      <c r="B238" s="65" t="s">
        <v>227</v>
      </c>
      <c r="C238" s="90">
        <f>VLOOKUP(A238,'Change in Proportion Calc'!$A$5:$P$316,12,FALSE)</f>
        <v>729</v>
      </c>
      <c r="D238" s="90">
        <f>VLOOKUP(A238,'Change in Proportion Calc'!$A$5:$P$316,13,FALSE)</f>
        <v>729</v>
      </c>
      <c r="E238" s="90">
        <f>VLOOKUP(A238,'Change in Proportion Calc'!$A$5:$P$316,13,FALSE)</f>
        <v>729</v>
      </c>
      <c r="F238" s="90">
        <f>VLOOKUP(A238,'Change in Proportion Calc'!$A$5:$P$316,13,FALSE)</f>
        <v>729</v>
      </c>
      <c r="G238" s="90">
        <f>VLOOKUP(A238,'Change in Proportion Calc'!$A$5:$P$316,16,FALSE)</f>
        <v>714</v>
      </c>
      <c r="H238" s="255"/>
      <c r="I238" s="280">
        <v>20695</v>
      </c>
      <c r="J238" s="280">
        <v>20695</v>
      </c>
      <c r="K238" s="280">
        <v>20695</v>
      </c>
      <c r="L238" s="280">
        <v>20695</v>
      </c>
      <c r="M238" s="281">
        <v>20279</v>
      </c>
      <c r="N238" s="65"/>
      <c r="O238" s="154">
        <v>194</v>
      </c>
      <c r="P238" s="154">
        <v>194</v>
      </c>
      <c r="Q238" s="154">
        <v>194</v>
      </c>
      <c r="R238" s="155">
        <v>124</v>
      </c>
      <c r="T238" s="197">
        <v>-875</v>
      </c>
      <c r="U238" s="197">
        <v>-875</v>
      </c>
      <c r="V238" s="197">
        <v>-632</v>
      </c>
      <c r="X238" s="281">
        <f>VLOOKUP(A238,'Change in Proportion Calc'!$A$5:$H$316,8,FALSE)+I238+O238+T238</f>
        <v>20743</v>
      </c>
      <c r="Z238" s="280">
        <f t="shared" si="9"/>
        <v>86506</v>
      </c>
      <c r="AA238" s="280">
        <f t="shared" si="10"/>
        <v>1507</v>
      </c>
      <c r="AC238" s="280">
        <f>VLOOKUP(A238,'OPEB Amounts_Report'!$A$10:$F$321,6,FALSE)</f>
        <v>86506</v>
      </c>
      <c r="AD238" s="281">
        <f t="shared" si="11"/>
        <v>0</v>
      </c>
    </row>
    <row r="239" spans="1:30">
      <c r="A239" s="62">
        <v>4317</v>
      </c>
      <c r="B239" s="66" t="s">
        <v>228</v>
      </c>
      <c r="C239" s="90">
        <f>VLOOKUP(A239,'Change in Proportion Calc'!$A$5:$P$316,12,FALSE)</f>
        <v>105205</v>
      </c>
      <c r="D239" s="90">
        <f>VLOOKUP(A239,'Change in Proportion Calc'!$A$5:$P$316,13,FALSE)</f>
        <v>105205</v>
      </c>
      <c r="E239" s="90">
        <f>VLOOKUP(A239,'Change in Proportion Calc'!$A$5:$P$316,13,FALSE)</f>
        <v>105205</v>
      </c>
      <c r="F239" s="90">
        <f>VLOOKUP(A239,'Change in Proportion Calc'!$A$5:$P$316,13,FALSE)</f>
        <v>105205</v>
      </c>
      <c r="G239" s="90">
        <f>VLOOKUP(A239,'Change in Proportion Calc'!$A$5:$P$316,16,FALSE)</f>
        <v>103103</v>
      </c>
      <c r="H239" s="255"/>
      <c r="I239" s="280">
        <v>1288</v>
      </c>
      <c r="J239" s="280">
        <v>1288</v>
      </c>
      <c r="K239" s="280">
        <v>1288</v>
      </c>
      <c r="L239" s="280">
        <v>1288</v>
      </c>
      <c r="M239" s="281">
        <v>1262</v>
      </c>
      <c r="N239" s="65"/>
      <c r="O239" s="154">
        <v>0</v>
      </c>
      <c r="P239" s="154">
        <v>0</v>
      </c>
      <c r="Q239" s="154">
        <v>0</v>
      </c>
      <c r="R239" s="155">
        <v>0</v>
      </c>
      <c r="T239" s="197">
        <v>-10698</v>
      </c>
      <c r="U239" s="197">
        <v>-10698</v>
      </c>
      <c r="V239" s="197">
        <v>-7704</v>
      </c>
      <c r="X239" s="281">
        <f>VLOOKUP(A239,'Change in Proportion Calc'!$A$5:$H$316,8,FALSE)+I239+O239+T239</f>
        <v>95795</v>
      </c>
      <c r="Z239" s="280">
        <f t="shared" si="9"/>
        <v>529049</v>
      </c>
      <c r="AA239" s="280">
        <f t="shared" si="10"/>
        <v>18402</v>
      </c>
      <c r="AC239" s="280">
        <f>VLOOKUP(A239,'OPEB Amounts_Report'!$A$10:$F$321,6,FALSE)</f>
        <v>529049</v>
      </c>
      <c r="AD239" s="281">
        <f t="shared" si="11"/>
        <v>0</v>
      </c>
    </row>
    <row r="240" spans="1:30">
      <c r="A240" s="64">
        <v>32120</v>
      </c>
      <c r="B240" s="65" t="s">
        <v>229</v>
      </c>
      <c r="C240" s="90">
        <f>VLOOKUP(A240,'Change in Proportion Calc'!$A$5:$P$316,12,FALSE)</f>
        <v>21624</v>
      </c>
      <c r="D240" s="90">
        <f>VLOOKUP(A240,'Change in Proportion Calc'!$A$5:$P$316,13,FALSE)</f>
        <v>21624</v>
      </c>
      <c r="E240" s="90">
        <f>VLOOKUP(A240,'Change in Proportion Calc'!$A$5:$P$316,13,FALSE)</f>
        <v>21624</v>
      </c>
      <c r="F240" s="90">
        <f>VLOOKUP(A240,'Change in Proportion Calc'!$A$5:$P$316,13,FALSE)</f>
        <v>21624</v>
      </c>
      <c r="G240" s="90">
        <f>VLOOKUP(A240,'Change in Proportion Calc'!$A$5:$P$316,16,FALSE)</f>
        <v>21193</v>
      </c>
      <c r="H240" s="255"/>
      <c r="I240" s="280">
        <v>45940</v>
      </c>
      <c r="J240" s="280">
        <v>45940</v>
      </c>
      <c r="K240" s="280">
        <v>45940</v>
      </c>
      <c r="L240" s="280">
        <v>45940</v>
      </c>
      <c r="M240" s="281">
        <v>45021</v>
      </c>
      <c r="N240" s="65"/>
      <c r="O240" s="154">
        <v>57436</v>
      </c>
      <c r="P240" s="154">
        <v>57436</v>
      </c>
      <c r="Q240" s="154">
        <v>57436</v>
      </c>
      <c r="R240" s="155">
        <v>36757</v>
      </c>
      <c r="T240" s="197">
        <v>19257</v>
      </c>
      <c r="U240" s="197">
        <v>19257</v>
      </c>
      <c r="V240" s="197">
        <v>13864</v>
      </c>
      <c r="X240" s="281">
        <f>VLOOKUP(A240,'Change in Proportion Calc'!$A$5:$H$316,8,FALSE)+I240+O240+T240</f>
        <v>144257</v>
      </c>
      <c r="Z240" s="280">
        <f t="shared" si="9"/>
        <v>475280</v>
      </c>
      <c r="AA240" s="280">
        <f t="shared" si="10"/>
        <v>0</v>
      </c>
      <c r="AC240" s="280">
        <f>VLOOKUP(A240,'OPEB Amounts_Report'!$A$10:$F$321,6,FALSE)</f>
        <v>475280</v>
      </c>
      <c r="AD240" s="281">
        <f t="shared" si="11"/>
        <v>0</v>
      </c>
    </row>
    <row r="241" spans="1:30">
      <c r="A241" s="62">
        <v>3300</v>
      </c>
      <c r="B241" s="66" t="s">
        <v>230</v>
      </c>
      <c r="C241" s="90">
        <f>VLOOKUP(A241,'Change in Proportion Calc'!$A$5:$P$316,12,FALSE)</f>
        <v>-32882</v>
      </c>
      <c r="D241" s="90">
        <f>VLOOKUP(A241,'Change in Proportion Calc'!$A$5:$P$316,13,FALSE)</f>
        <v>-32882</v>
      </c>
      <c r="E241" s="90">
        <f>VLOOKUP(A241,'Change in Proportion Calc'!$A$5:$P$316,13,FALSE)</f>
        <v>-32882</v>
      </c>
      <c r="F241" s="90">
        <f>VLOOKUP(A241,'Change in Proportion Calc'!$A$5:$P$316,13,FALSE)</f>
        <v>-32882</v>
      </c>
      <c r="G241" s="90">
        <f>VLOOKUP(A241,'Change in Proportion Calc'!$A$5:$P$316,16,FALSE)</f>
        <v>-32223</v>
      </c>
      <c r="H241" s="255"/>
      <c r="I241" s="280">
        <v>-21811</v>
      </c>
      <c r="J241" s="280">
        <v>-21811</v>
      </c>
      <c r="K241" s="280">
        <v>-21811</v>
      </c>
      <c r="L241" s="280">
        <v>-21811</v>
      </c>
      <c r="M241" s="281">
        <v>-21373</v>
      </c>
      <c r="N241" s="65"/>
      <c r="O241" s="154">
        <v>18142</v>
      </c>
      <c r="P241" s="154">
        <v>18142</v>
      </c>
      <c r="Q241" s="154">
        <v>18142</v>
      </c>
      <c r="R241" s="155">
        <v>11613</v>
      </c>
      <c r="T241" s="197">
        <v>607561</v>
      </c>
      <c r="U241" s="197">
        <v>607561</v>
      </c>
      <c r="V241" s="197">
        <v>437446</v>
      </c>
      <c r="X241" s="281">
        <f>VLOOKUP(A241,'Change in Proportion Calc'!$A$5:$H$316,8,FALSE)+I241+O241+T241</f>
        <v>571010</v>
      </c>
      <c r="Z241" s="280">
        <f t="shared" si="9"/>
        <v>1092904</v>
      </c>
      <c r="AA241" s="280">
        <f t="shared" si="10"/>
        <v>250557</v>
      </c>
      <c r="AC241" s="280">
        <f>VLOOKUP(A241,'OPEB Amounts_Report'!$A$10:$F$321,6,FALSE)</f>
        <v>1092904</v>
      </c>
      <c r="AD241" s="281">
        <f t="shared" si="11"/>
        <v>0</v>
      </c>
    </row>
    <row r="242" spans="1:30">
      <c r="A242" s="64">
        <v>8026</v>
      </c>
      <c r="B242" s="65" t="s">
        <v>231</v>
      </c>
      <c r="C242" s="90">
        <f>VLOOKUP(A242,'Change in Proportion Calc'!$A$5:$P$316,12,FALSE)</f>
        <v>-123590</v>
      </c>
      <c r="D242" s="90">
        <f>VLOOKUP(A242,'Change in Proportion Calc'!$A$5:$P$316,13,FALSE)</f>
        <v>-123590</v>
      </c>
      <c r="E242" s="90">
        <f>VLOOKUP(A242,'Change in Proportion Calc'!$A$5:$P$316,13,FALSE)</f>
        <v>-123590</v>
      </c>
      <c r="F242" s="90">
        <f>VLOOKUP(A242,'Change in Proportion Calc'!$A$5:$P$316,13,FALSE)</f>
        <v>-123590</v>
      </c>
      <c r="G242" s="90">
        <f>VLOOKUP(A242,'Change in Proportion Calc'!$A$5:$P$316,16,FALSE)</f>
        <v>-121118</v>
      </c>
      <c r="H242" s="255"/>
      <c r="I242" s="280">
        <v>-123050</v>
      </c>
      <c r="J242" s="280">
        <v>-123050</v>
      </c>
      <c r="K242" s="280">
        <v>-123050</v>
      </c>
      <c r="L242" s="280">
        <v>-123050</v>
      </c>
      <c r="M242" s="281">
        <v>-120591</v>
      </c>
      <c r="N242" s="65"/>
      <c r="O242" s="154">
        <v>-18045</v>
      </c>
      <c r="P242" s="154">
        <v>-18045</v>
      </c>
      <c r="Q242" s="154">
        <v>-18045</v>
      </c>
      <c r="R242" s="155">
        <v>-11551</v>
      </c>
      <c r="T242" s="197">
        <v>-46294</v>
      </c>
      <c r="U242" s="197">
        <v>-46294</v>
      </c>
      <c r="V242" s="197">
        <v>-33332</v>
      </c>
      <c r="X242" s="281">
        <f>VLOOKUP(A242,'Change in Proportion Calc'!$A$5:$H$316,8,FALSE)+I242+O242+T242</f>
        <v>-310979</v>
      </c>
      <c r="Z242" s="280">
        <f t="shared" si="9"/>
        <v>0</v>
      </c>
      <c r="AA242" s="280">
        <f t="shared" si="10"/>
        <v>1232486</v>
      </c>
      <c r="AC242" s="280">
        <f>VLOOKUP(A242,'OPEB Amounts_Report'!$A$10:$F$321,6,FALSE)</f>
        <v>0</v>
      </c>
      <c r="AD242" s="281">
        <f t="shared" si="11"/>
        <v>0</v>
      </c>
    </row>
    <row r="243" spans="1:30">
      <c r="A243" s="62">
        <v>32119</v>
      </c>
      <c r="B243" s="66" t="s">
        <v>232</v>
      </c>
      <c r="C243" s="90">
        <f>VLOOKUP(A243,'Change in Proportion Calc'!$A$5:$P$316,12,FALSE)</f>
        <v>9233</v>
      </c>
      <c r="D243" s="90">
        <f>VLOOKUP(A243,'Change in Proportion Calc'!$A$5:$P$316,13,FALSE)</f>
        <v>9233</v>
      </c>
      <c r="E243" s="90">
        <f>VLOOKUP(A243,'Change in Proportion Calc'!$A$5:$P$316,13,FALSE)</f>
        <v>9233</v>
      </c>
      <c r="F243" s="90">
        <f>VLOOKUP(A243,'Change in Proportion Calc'!$A$5:$P$316,13,FALSE)</f>
        <v>9233</v>
      </c>
      <c r="G243" s="90">
        <f>VLOOKUP(A243,'Change in Proportion Calc'!$A$5:$P$316,16,FALSE)</f>
        <v>9047</v>
      </c>
      <c r="H243" s="255"/>
      <c r="I243" s="280">
        <v>-18719</v>
      </c>
      <c r="J243" s="280">
        <v>-18719</v>
      </c>
      <c r="K243" s="280">
        <v>-18719</v>
      </c>
      <c r="L243" s="280">
        <v>-18719</v>
      </c>
      <c r="M243" s="281">
        <v>-18347</v>
      </c>
      <c r="N243" s="65"/>
      <c r="O243" s="154">
        <v>40748</v>
      </c>
      <c r="P243" s="154">
        <v>40748</v>
      </c>
      <c r="Q243" s="154">
        <v>40748</v>
      </c>
      <c r="R243" s="155">
        <v>26079</v>
      </c>
      <c r="T243" s="197">
        <v>26065</v>
      </c>
      <c r="U243" s="197">
        <v>26065</v>
      </c>
      <c r="V243" s="197">
        <v>18765</v>
      </c>
      <c r="X243" s="281">
        <f>VLOOKUP(A243,'Change in Proportion Calc'!$A$5:$H$316,8,FALSE)+I243+O243+T243</f>
        <v>57327</v>
      </c>
      <c r="Z243" s="280">
        <f t="shared" si="9"/>
        <v>198384</v>
      </c>
      <c r="AA243" s="280">
        <f t="shared" si="10"/>
        <v>74504</v>
      </c>
      <c r="AC243" s="280">
        <f>VLOOKUP(A243,'OPEB Amounts_Report'!$A$10:$F$321,6,FALSE)</f>
        <v>198384</v>
      </c>
      <c r="AD243" s="281">
        <f t="shared" si="11"/>
        <v>0</v>
      </c>
    </row>
    <row r="244" spans="1:30">
      <c r="A244" s="64">
        <v>25076</v>
      </c>
      <c r="B244" s="65" t="s">
        <v>233</v>
      </c>
      <c r="C244" s="90">
        <f>VLOOKUP(A244,'Change in Proportion Calc'!$A$5:$P$316,12,FALSE)</f>
        <v>-75725</v>
      </c>
      <c r="D244" s="90">
        <f>VLOOKUP(A244,'Change in Proportion Calc'!$A$5:$P$316,13,FALSE)</f>
        <v>-75725</v>
      </c>
      <c r="E244" s="90">
        <f>VLOOKUP(A244,'Change in Proportion Calc'!$A$5:$P$316,13,FALSE)</f>
        <v>-75725</v>
      </c>
      <c r="F244" s="90">
        <f>VLOOKUP(A244,'Change in Proportion Calc'!$A$5:$P$316,13,FALSE)</f>
        <v>-75725</v>
      </c>
      <c r="G244" s="90">
        <f>VLOOKUP(A244,'Change in Proportion Calc'!$A$5:$P$316,16,FALSE)</f>
        <v>-74211</v>
      </c>
      <c r="H244" s="255"/>
      <c r="I244" s="280">
        <v>11850</v>
      </c>
      <c r="J244" s="280">
        <v>11850</v>
      </c>
      <c r="K244" s="280">
        <v>11850</v>
      </c>
      <c r="L244" s="280">
        <v>11850</v>
      </c>
      <c r="M244" s="281">
        <v>11613</v>
      </c>
      <c r="N244" s="65"/>
      <c r="O244" s="154">
        <v>89161</v>
      </c>
      <c r="P244" s="154">
        <v>89161</v>
      </c>
      <c r="Q244" s="154">
        <v>89161</v>
      </c>
      <c r="R244" s="155">
        <v>57062</v>
      </c>
      <c r="T244" s="197">
        <v>-64870</v>
      </c>
      <c r="U244" s="197">
        <v>-64870</v>
      </c>
      <c r="V244" s="197">
        <v>-46707</v>
      </c>
      <c r="X244" s="281">
        <f>VLOOKUP(A244,'Change in Proportion Calc'!$A$5:$H$316,8,FALSE)+I244+O244+T244</f>
        <v>-39584</v>
      </c>
      <c r="Z244" s="280">
        <f t="shared" si="9"/>
        <v>282547</v>
      </c>
      <c r="AA244" s="280">
        <f t="shared" si="10"/>
        <v>488688</v>
      </c>
      <c r="AC244" s="280">
        <f>VLOOKUP(A244,'OPEB Amounts_Report'!$A$10:$F$321,6,FALSE)</f>
        <v>282547</v>
      </c>
      <c r="AD244" s="281">
        <f t="shared" si="11"/>
        <v>0</v>
      </c>
    </row>
    <row r="245" spans="1:30">
      <c r="A245" s="62">
        <v>2440</v>
      </c>
      <c r="B245" s="66" t="s">
        <v>414</v>
      </c>
      <c r="C245" s="90">
        <f>VLOOKUP(A245,'Change in Proportion Calc'!$A$5:$P$316,12,FALSE)</f>
        <v>55721</v>
      </c>
      <c r="D245" s="90">
        <f>VLOOKUP(A245,'Change in Proportion Calc'!$A$5:$P$316,13,FALSE)</f>
        <v>55721</v>
      </c>
      <c r="E245" s="90">
        <f>VLOOKUP(A245,'Change in Proportion Calc'!$A$5:$P$316,13,FALSE)</f>
        <v>55721</v>
      </c>
      <c r="F245" s="90">
        <f>VLOOKUP(A245,'Change in Proportion Calc'!$A$5:$P$316,13,FALSE)</f>
        <v>55721</v>
      </c>
      <c r="G245" s="90">
        <f>VLOOKUP(A245,'Change in Proportion Calc'!$A$5:$P$316,16,FALSE)</f>
        <v>54605</v>
      </c>
      <c r="H245" s="255"/>
      <c r="I245" s="280">
        <v>108195</v>
      </c>
      <c r="J245" s="280">
        <v>108195</v>
      </c>
      <c r="K245" s="280">
        <v>108195</v>
      </c>
      <c r="L245" s="280">
        <v>108195</v>
      </c>
      <c r="M245" s="281">
        <v>106031</v>
      </c>
      <c r="N245" s="65"/>
      <c r="O245" s="154">
        <v>5433</v>
      </c>
      <c r="P245" s="154">
        <v>5433</v>
      </c>
      <c r="Q245" s="154">
        <v>5433</v>
      </c>
      <c r="R245" s="155">
        <v>3478</v>
      </c>
      <c r="T245" s="197">
        <v>0</v>
      </c>
      <c r="U245" s="197">
        <v>0</v>
      </c>
      <c r="V245" s="197">
        <v>0</v>
      </c>
      <c r="X245" s="281">
        <f>VLOOKUP(A245,'Change in Proportion Calc'!$A$5:$H$316,8,FALSE)+I245+O245+T245</f>
        <v>169349</v>
      </c>
      <c r="Z245" s="280">
        <f t="shared" si="9"/>
        <v>722449</v>
      </c>
      <c r="AA245" s="280">
        <f t="shared" si="10"/>
        <v>0</v>
      </c>
      <c r="AC245" s="280">
        <f>VLOOKUP(A245,'OPEB Amounts_Report'!$A$10:$F$321,6,FALSE)</f>
        <v>722449</v>
      </c>
      <c r="AD245" s="281">
        <f t="shared" si="11"/>
        <v>0</v>
      </c>
    </row>
    <row r="246" spans="1:30">
      <c r="A246" s="64">
        <v>2309</v>
      </c>
      <c r="B246" s="65" t="s">
        <v>234</v>
      </c>
      <c r="C246" s="90">
        <f>VLOOKUP(A246,'Change in Proportion Calc'!$A$5:$P$316,12,FALSE)</f>
        <v>36202</v>
      </c>
      <c r="D246" s="90">
        <f>VLOOKUP(A246,'Change in Proportion Calc'!$A$5:$P$316,13,FALSE)</f>
        <v>36202</v>
      </c>
      <c r="E246" s="90">
        <f>VLOOKUP(A246,'Change in Proportion Calc'!$A$5:$P$316,13,FALSE)</f>
        <v>36202</v>
      </c>
      <c r="F246" s="90">
        <f>VLOOKUP(A246,'Change in Proportion Calc'!$A$5:$P$316,13,FALSE)</f>
        <v>36202</v>
      </c>
      <c r="G246" s="90">
        <f>VLOOKUP(A246,'Change in Proportion Calc'!$A$5:$P$316,16,FALSE)</f>
        <v>35480</v>
      </c>
      <c r="H246" s="255"/>
      <c r="I246" s="280">
        <v>36580</v>
      </c>
      <c r="J246" s="280">
        <v>36580</v>
      </c>
      <c r="K246" s="280">
        <v>36580</v>
      </c>
      <c r="L246" s="280">
        <v>36580</v>
      </c>
      <c r="M246" s="281">
        <v>35850</v>
      </c>
      <c r="N246" s="65"/>
      <c r="O246" s="154">
        <v>-10866</v>
      </c>
      <c r="P246" s="154">
        <v>-10866</v>
      </c>
      <c r="Q246" s="154">
        <v>-10866</v>
      </c>
      <c r="R246" s="155">
        <v>-6955</v>
      </c>
      <c r="T246" s="197">
        <v>52713</v>
      </c>
      <c r="U246" s="197">
        <v>52713</v>
      </c>
      <c r="V246" s="197">
        <v>37953</v>
      </c>
      <c r="X246" s="281">
        <f>VLOOKUP(A246,'Change in Proportion Calc'!$A$5:$H$316,8,FALSE)+I246+O246+T246</f>
        <v>114629</v>
      </c>
      <c r="Z246" s="280">
        <f t="shared" si="9"/>
        <v>416544</v>
      </c>
      <c r="AA246" s="280">
        <f t="shared" si="10"/>
        <v>28687</v>
      </c>
      <c r="AC246" s="280">
        <f>VLOOKUP(A246,'OPEB Amounts_Report'!$A$10:$F$321,6,FALSE)</f>
        <v>416544</v>
      </c>
      <c r="AD246" s="281">
        <f t="shared" si="11"/>
        <v>0</v>
      </c>
    </row>
    <row r="247" spans="1:30">
      <c r="A247" s="62">
        <v>2396</v>
      </c>
      <c r="B247" s="66" t="s">
        <v>235</v>
      </c>
      <c r="C247" s="90">
        <f>VLOOKUP(A247,'Change in Proportion Calc'!$A$5:$P$316,12,FALSE)</f>
        <v>14335</v>
      </c>
      <c r="D247" s="90">
        <f>VLOOKUP(A247,'Change in Proportion Calc'!$A$5:$P$316,13,FALSE)</f>
        <v>14335</v>
      </c>
      <c r="E247" s="90">
        <f>VLOOKUP(A247,'Change in Proportion Calc'!$A$5:$P$316,13,FALSE)</f>
        <v>14335</v>
      </c>
      <c r="F247" s="90">
        <f>VLOOKUP(A247,'Change in Proportion Calc'!$A$5:$P$316,13,FALSE)</f>
        <v>14335</v>
      </c>
      <c r="G247" s="90">
        <f>VLOOKUP(A247,'Change in Proportion Calc'!$A$5:$P$316,16,FALSE)</f>
        <v>14049</v>
      </c>
      <c r="H247" s="255"/>
      <c r="I247" s="280">
        <v>21038</v>
      </c>
      <c r="J247" s="280">
        <v>21038</v>
      </c>
      <c r="K247" s="280">
        <v>21038</v>
      </c>
      <c r="L247" s="280">
        <v>21038</v>
      </c>
      <c r="M247" s="281">
        <v>20617</v>
      </c>
      <c r="N247" s="65"/>
      <c r="O247" s="154">
        <v>19113</v>
      </c>
      <c r="P247" s="154">
        <v>19113</v>
      </c>
      <c r="Q247" s="154">
        <v>19113</v>
      </c>
      <c r="R247" s="155">
        <v>12231</v>
      </c>
      <c r="T247" s="197">
        <v>-8850</v>
      </c>
      <c r="U247" s="197">
        <v>-8850</v>
      </c>
      <c r="V247" s="197">
        <v>-6374</v>
      </c>
      <c r="X247" s="281">
        <f>VLOOKUP(A247,'Change in Proportion Calc'!$A$5:$H$316,8,FALSE)+I247+O247+T247</f>
        <v>45636</v>
      </c>
      <c r="Z247" s="280">
        <f t="shared" si="9"/>
        <v>205577</v>
      </c>
      <c r="AA247" s="280">
        <f t="shared" si="10"/>
        <v>15224</v>
      </c>
      <c r="AC247" s="280">
        <f>VLOOKUP(A247,'OPEB Amounts_Report'!$A$10:$F$321,6,FALSE)</f>
        <v>205577</v>
      </c>
      <c r="AD247" s="281">
        <f t="shared" si="11"/>
        <v>0</v>
      </c>
    </row>
    <row r="248" spans="1:30">
      <c r="A248" s="64">
        <v>3380</v>
      </c>
      <c r="B248" s="65" t="s">
        <v>236</v>
      </c>
      <c r="C248" s="90">
        <f>VLOOKUP(A248,'Change in Proportion Calc'!$A$5:$P$316,12,FALSE)</f>
        <v>9395</v>
      </c>
      <c r="D248" s="90">
        <f>VLOOKUP(A248,'Change in Proportion Calc'!$A$5:$P$316,13,FALSE)</f>
        <v>9395</v>
      </c>
      <c r="E248" s="90">
        <f>VLOOKUP(A248,'Change in Proportion Calc'!$A$5:$P$316,13,FALSE)</f>
        <v>9395</v>
      </c>
      <c r="F248" s="90">
        <f>VLOOKUP(A248,'Change in Proportion Calc'!$A$5:$P$316,13,FALSE)</f>
        <v>9395</v>
      </c>
      <c r="G248" s="90">
        <f>VLOOKUP(A248,'Change in Proportion Calc'!$A$5:$P$316,16,FALSE)</f>
        <v>9206</v>
      </c>
      <c r="H248" s="255"/>
      <c r="I248" s="280">
        <v>6183</v>
      </c>
      <c r="J248" s="280">
        <v>6183</v>
      </c>
      <c r="K248" s="280">
        <v>6183</v>
      </c>
      <c r="L248" s="280">
        <v>6183</v>
      </c>
      <c r="M248" s="281">
        <v>6057</v>
      </c>
      <c r="N248" s="65"/>
      <c r="O248" s="154">
        <v>-13583</v>
      </c>
      <c r="P248" s="154">
        <v>-13583</v>
      </c>
      <c r="Q248" s="154">
        <v>-13583</v>
      </c>
      <c r="R248" s="155">
        <v>-8691</v>
      </c>
      <c r="T248" s="197">
        <v>-7197</v>
      </c>
      <c r="U248" s="197">
        <v>-7197</v>
      </c>
      <c r="V248" s="197">
        <v>-5182</v>
      </c>
      <c r="X248" s="281">
        <f>VLOOKUP(A248,'Change in Proportion Calc'!$A$5:$H$316,8,FALSE)+I248+O248+T248</f>
        <v>-5202</v>
      </c>
      <c r="Z248" s="280">
        <f t="shared" si="9"/>
        <v>71392</v>
      </c>
      <c r="AA248" s="280">
        <f t="shared" si="10"/>
        <v>48236</v>
      </c>
      <c r="AC248" s="280">
        <f>VLOOKUP(A248,'OPEB Amounts_Report'!$A$10:$F$321,6,FALSE)</f>
        <v>71392</v>
      </c>
      <c r="AD248" s="281">
        <f t="shared" si="11"/>
        <v>0</v>
      </c>
    </row>
    <row r="249" spans="1:30">
      <c r="A249" s="62">
        <v>2420</v>
      </c>
      <c r="B249" s="66" t="s">
        <v>237</v>
      </c>
      <c r="C249" s="90">
        <f>VLOOKUP(A249,'Change in Proportion Calc'!$A$5:$P$316,12,FALSE)</f>
        <v>-5669</v>
      </c>
      <c r="D249" s="90">
        <f>VLOOKUP(A249,'Change in Proportion Calc'!$A$5:$P$316,13,FALSE)</f>
        <v>-5669</v>
      </c>
      <c r="E249" s="90">
        <f>VLOOKUP(A249,'Change in Proportion Calc'!$A$5:$P$316,13,FALSE)</f>
        <v>-5669</v>
      </c>
      <c r="F249" s="90">
        <f>VLOOKUP(A249,'Change in Proportion Calc'!$A$5:$P$316,13,FALSE)</f>
        <v>-5669</v>
      </c>
      <c r="G249" s="90">
        <f>VLOOKUP(A249,'Change in Proportion Calc'!$A$5:$P$316,16,FALSE)</f>
        <v>-5557</v>
      </c>
      <c r="H249" s="255"/>
      <c r="I249" s="280">
        <v>-28423</v>
      </c>
      <c r="J249" s="280">
        <v>-28423</v>
      </c>
      <c r="K249" s="280">
        <v>-28423</v>
      </c>
      <c r="L249" s="280">
        <v>-28423</v>
      </c>
      <c r="M249" s="281">
        <v>-27853</v>
      </c>
      <c r="N249" s="65"/>
      <c r="O249" s="154">
        <v>34927</v>
      </c>
      <c r="P249" s="154">
        <v>34927</v>
      </c>
      <c r="Q249" s="154">
        <v>34927</v>
      </c>
      <c r="R249" s="155">
        <v>22353</v>
      </c>
      <c r="T249" s="197">
        <v>18284</v>
      </c>
      <c r="U249" s="197">
        <v>18284</v>
      </c>
      <c r="V249" s="197">
        <v>13166</v>
      </c>
      <c r="X249" s="281">
        <f>VLOOKUP(A249,'Change in Proportion Calc'!$A$5:$H$316,8,FALSE)+I249+O249+T249</f>
        <v>19119</v>
      </c>
      <c r="Z249" s="280">
        <f t="shared" si="9"/>
        <v>123657</v>
      </c>
      <c r="AA249" s="280">
        <f t="shared" si="10"/>
        <v>141355</v>
      </c>
      <c r="AC249" s="280">
        <f>VLOOKUP(A249,'OPEB Amounts_Report'!$A$10:$F$321,6,FALSE)</f>
        <v>123657</v>
      </c>
      <c r="AD249" s="281">
        <f t="shared" si="11"/>
        <v>0</v>
      </c>
    </row>
    <row r="250" spans="1:30">
      <c r="A250" s="64">
        <v>2740</v>
      </c>
      <c r="B250" s="65" t="s">
        <v>238</v>
      </c>
      <c r="C250" s="90">
        <f>VLOOKUP(A250,'Change in Proportion Calc'!$A$5:$P$316,12,FALSE)</f>
        <v>6884</v>
      </c>
      <c r="D250" s="90">
        <f>VLOOKUP(A250,'Change in Proportion Calc'!$A$5:$P$316,13,FALSE)</f>
        <v>6884</v>
      </c>
      <c r="E250" s="90">
        <f>VLOOKUP(A250,'Change in Proportion Calc'!$A$5:$P$316,13,FALSE)</f>
        <v>6884</v>
      </c>
      <c r="F250" s="90">
        <f>VLOOKUP(A250,'Change in Proportion Calc'!$A$5:$P$316,13,FALSE)</f>
        <v>6884</v>
      </c>
      <c r="G250" s="90">
        <f>VLOOKUP(A250,'Change in Proportion Calc'!$A$5:$P$316,16,FALSE)</f>
        <v>6747</v>
      </c>
      <c r="H250" s="255"/>
      <c r="I250" s="280">
        <v>-5238</v>
      </c>
      <c r="J250" s="280">
        <v>-5238</v>
      </c>
      <c r="K250" s="280">
        <v>-5238</v>
      </c>
      <c r="L250" s="280">
        <v>-5238</v>
      </c>
      <c r="M250" s="281">
        <v>-5133</v>
      </c>
      <c r="N250" s="65"/>
      <c r="O250" s="154">
        <v>-3590</v>
      </c>
      <c r="P250" s="154">
        <v>-3590</v>
      </c>
      <c r="Q250" s="154">
        <v>-3590</v>
      </c>
      <c r="R250" s="155">
        <v>-2296</v>
      </c>
      <c r="T250" s="197">
        <v>1167</v>
      </c>
      <c r="U250" s="197">
        <v>1167</v>
      </c>
      <c r="V250" s="197">
        <v>841</v>
      </c>
      <c r="X250" s="281">
        <f>VLOOKUP(A250,'Change in Proportion Calc'!$A$5:$H$316,8,FALSE)+I250+O250+T250</f>
        <v>-777</v>
      </c>
      <c r="Z250" s="280">
        <f t="shared" si="9"/>
        <v>36291</v>
      </c>
      <c r="AA250" s="280">
        <f t="shared" si="10"/>
        <v>30323</v>
      </c>
      <c r="AC250" s="280">
        <f>VLOOKUP(A250,'OPEB Amounts_Report'!$A$10:$F$321,6,FALSE)</f>
        <v>36291</v>
      </c>
      <c r="AD250" s="281">
        <f t="shared" si="11"/>
        <v>0</v>
      </c>
    </row>
    <row r="251" spans="1:30">
      <c r="A251" s="62">
        <v>2346</v>
      </c>
      <c r="B251" s="66" t="s">
        <v>239</v>
      </c>
      <c r="C251" s="90">
        <f>VLOOKUP(A251,'Change in Proportion Calc'!$A$5:$P$316,12,FALSE)</f>
        <v>-2915</v>
      </c>
      <c r="D251" s="90">
        <f>VLOOKUP(A251,'Change in Proportion Calc'!$A$5:$P$316,13,FALSE)</f>
        <v>-2915</v>
      </c>
      <c r="E251" s="90">
        <f>VLOOKUP(A251,'Change in Proportion Calc'!$A$5:$P$316,13,FALSE)</f>
        <v>-2915</v>
      </c>
      <c r="F251" s="90">
        <f>VLOOKUP(A251,'Change in Proportion Calc'!$A$5:$P$316,13,FALSE)</f>
        <v>-2915</v>
      </c>
      <c r="G251" s="90">
        <f>VLOOKUP(A251,'Change in Proportion Calc'!$A$5:$P$316,16,FALSE)</f>
        <v>-2859</v>
      </c>
      <c r="H251" s="255"/>
      <c r="I251" s="280">
        <v>1803</v>
      </c>
      <c r="J251" s="280">
        <v>1803</v>
      </c>
      <c r="K251" s="280">
        <v>1803</v>
      </c>
      <c r="L251" s="280">
        <v>1803</v>
      </c>
      <c r="M251" s="281">
        <v>1768</v>
      </c>
      <c r="N251" s="65"/>
      <c r="O251" s="154">
        <v>22800</v>
      </c>
      <c r="P251" s="154">
        <v>22800</v>
      </c>
      <c r="Q251" s="154">
        <v>22800</v>
      </c>
      <c r="R251" s="155">
        <v>14590</v>
      </c>
      <c r="T251" s="197">
        <v>61758</v>
      </c>
      <c r="U251" s="197">
        <v>61758</v>
      </c>
      <c r="V251" s="197">
        <v>44465</v>
      </c>
      <c r="X251" s="281">
        <f>VLOOKUP(A251,'Change in Proportion Calc'!$A$5:$H$316,8,FALSE)+I251+O251+T251</f>
        <v>83445</v>
      </c>
      <c r="Z251" s="280">
        <f t="shared" si="9"/>
        <v>173590</v>
      </c>
      <c r="AA251" s="280">
        <f t="shared" si="10"/>
        <v>14519</v>
      </c>
      <c r="AC251" s="280">
        <f>VLOOKUP(A251,'OPEB Amounts_Report'!$A$10:$F$321,6,FALSE)</f>
        <v>173590</v>
      </c>
      <c r="AD251" s="281">
        <f t="shared" si="11"/>
        <v>0</v>
      </c>
    </row>
    <row r="252" spans="1:30">
      <c r="A252" s="64">
        <v>21150</v>
      </c>
      <c r="B252" s="65" t="s">
        <v>240</v>
      </c>
      <c r="C252" s="90">
        <f>VLOOKUP(A252,'Change in Proportion Calc'!$A$5:$P$316,12,FALSE)</f>
        <v>26727</v>
      </c>
      <c r="D252" s="90">
        <f>VLOOKUP(A252,'Change in Proportion Calc'!$A$5:$P$316,13,FALSE)</f>
        <v>26727</v>
      </c>
      <c r="E252" s="90">
        <f>VLOOKUP(A252,'Change in Proportion Calc'!$A$5:$P$316,13,FALSE)</f>
        <v>26727</v>
      </c>
      <c r="F252" s="90">
        <f>VLOOKUP(A252,'Change in Proportion Calc'!$A$5:$P$316,13,FALSE)</f>
        <v>26727</v>
      </c>
      <c r="G252" s="90">
        <f>VLOOKUP(A252,'Change in Proportion Calc'!$A$5:$P$316,16,FALSE)</f>
        <v>26190</v>
      </c>
      <c r="H252" s="255"/>
      <c r="I252" s="280">
        <v>-16143</v>
      </c>
      <c r="J252" s="280">
        <v>-16143</v>
      </c>
      <c r="K252" s="280">
        <v>-16143</v>
      </c>
      <c r="L252" s="280">
        <v>-16143</v>
      </c>
      <c r="M252" s="281">
        <v>-15822</v>
      </c>
      <c r="N252" s="65"/>
      <c r="O252" s="154">
        <v>48801</v>
      </c>
      <c r="P252" s="154">
        <v>48801</v>
      </c>
      <c r="Q252" s="154">
        <v>48801</v>
      </c>
      <c r="R252" s="155">
        <v>31231</v>
      </c>
      <c r="T252" s="197">
        <v>68468</v>
      </c>
      <c r="U252" s="197">
        <v>68468</v>
      </c>
      <c r="V252" s="197">
        <v>49299</v>
      </c>
      <c r="X252" s="281">
        <f>VLOOKUP(A252,'Change in Proportion Calc'!$A$5:$H$316,8,FALSE)+I252+O252+T252</f>
        <v>127853</v>
      </c>
      <c r="Z252" s="280">
        <f t="shared" si="9"/>
        <v>379698</v>
      </c>
      <c r="AA252" s="280">
        <f t="shared" si="10"/>
        <v>64251</v>
      </c>
      <c r="AC252" s="280">
        <f>VLOOKUP(A252,'OPEB Amounts_Report'!$A$10:$F$321,6,FALSE)</f>
        <v>379698</v>
      </c>
      <c r="AD252" s="281">
        <f t="shared" si="11"/>
        <v>0</v>
      </c>
    </row>
    <row r="253" spans="1:30">
      <c r="A253" s="62">
        <v>32098</v>
      </c>
      <c r="B253" s="66" t="s">
        <v>241</v>
      </c>
      <c r="C253" s="90">
        <f>VLOOKUP(A253,'Change in Proportion Calc'!$A$5:$P$316,12,FALSE)</f>
        <v>567</v>
      </c>
      <c r="D253" s="90">
        <f>VLOOKUP(A253,'Change in Proportion Calc'!$A$5:$P$316,13,FALSE)</f>
        <v>567</v>
      </c>
      <c r="E253" s="90">
        <f>VLOOKUP(A253,'Change in Proportion Calc'!$A$5:$P$316,13,FALSE)</f>
        <v>567</v>
      </c>
      <c r="F253" s="90">
        <f>VLOOKUP(A253,'Change in Proportion Calc'!$A$5:$P$316,13,FALSE)</f>
        <v>567</v>
      </c>
      <c r="G253" s="90">
        <f>VLOOKUP(A253,'Change in Proportion Calc'!$A$5:$P$316,16,FALSE)</f>
        <v>555</v>
      </c>
      <c r="H253" s="255"/>
      <c r="I253" s="280">
        <v>-27392</v>
      </c>
      <c r="J253" s="280">
        <v>-27392</v>
      </c>
      <c r="K253" s="280">
        <v>-27392</v>
      </c>
      <c r="L253" s="280">
        <v>-27392</v>
      </c>
      <c r="M253" s="281">
        <v>-26846</v>
      </c>
      <c r="N253" s="65"/>
      <c r="O253" s="154">
        <v>-9702</v>
      </c>
      <c r="P253" s="154">
        <v>-9702</v>
      </c>
      <c r="Q253" s="154">
        <v>-9702</v>
      </c>
      <c r="R253" s="155">
        <v>-6209</v>
      </c>
      <c r="T253" s="197">
        <v>34040</v>
      </c>
      <c r="U253" s="197">
        <v>34040</v>
      </c>
      <c r="V253" s="197">
        <v>24507</v>
      </c>
      <c r="X253" s="281">
        <f>VLOOKUP(A253,'Change in Proportion Calc'!$A$5:$H$316,8,FALSE)+I253+O253+T253</f>
        <v>-2487</v>
      </c>
      <c r="Z253" s="280">
        <f t="shared" si="9"/>
        <v>61370</v>
      </c>
      <c r="AA253" s="280">
        <f t="shared" si="10"/>
        <v>134635</v>
      </c>
      <c r="AC253" s="280">
        <f>VLOOKUP(A253,'OPEB Amounts_Report'!$A$10:$F$321,6,FALSE)</f>
        <v>61370</v>
      </c>
      <c r="AD253" s="281">
        <f t="shared" si="11"/>
        <v>0</v>
      </c>
    </row>
    <row r="254" spans="1:30">
      <c r="A254" s="64">
        <v>4520</v>
      </c>
      <c r="B254" s="65" t="s">
        <v>242</v>
      </c>
      <c r="C254" s="90">
        <f>VLOOKUP(A254,'Change in Proportion Calc'!$A$5:$P$316,12,FALSE)</f>
        <v>1701</v>
      </c>
      <c r="D254" s="90">
        <f>VLOOKUP(A254,'Change in Proportion Calc'!$A$5:$P$316,13,FALSE)</f>
        <v>1701</v>
      </c>
      <c r="E254" s="90">
        <f>VLOOKUP(A254,'Change in Proportion Calc'!$A$5:$P$316,13,FALSE)</f>
        <v>1701</v>
      </c>
      <c r="F254" s="90">
        <f>VLOOKUP(A254,'Change in Proportion Calc'!$A$5:$P$316,13,FALSE)</f>
        <v>1701</v>
      </c>
      <c r="G254" s="90">
        <f>VLOOKUP(A254,'Change in Proportion Calc'!$A$5:$P$316,16,FALSE)</f>
        <v>1666</v>
      </c>
      <c r="H254" s="255"/>
      <c r="I254" s="280">
        <v>-429</v>
      </c>
      <c r="J254" s="280">
        <v>-429</v>
      </c>
      <c r="K254" s="280">
        <v>-429</v>
      </c>
      <c r="L254" s="280">
        <v>-429</v>
      </c>
      <c r="M254" s="281">
        <v>-422</v>
      </c>
      <c r="N254" s="65"/>
      <c r="O254" s="154">
        <v>1164</v>
      </c>
      <c r="P254" s="154">
        <v>1164</v>
      </c>
      <c r="Q254" s="154">
        <v>1164</v>
      </c>
      <c r="R254" s="155">
        <v>746</v>
      </c>
      <c r="T254" s="197">
        <v>194</v>
      </c>
      <c r="U254" s="197">
        <v>194</v>
      </c>
      <c r="V254" s="197">
        <v>142</v>
      </c>
      <c r="X254" s="281">
        <f>VLOOKUP(A254,'Change in Proportion Calc'!$A$5:$H$316,8,FALSE)+I254+O254+T254</f>
        <v>2630</v>
      </c>
      <c r="Z254" s="280">
        <f t="shared" si="9"/>
        <v>11880</v>
      </c>
      <c r="AA254" s="280">
        <f t="shared" si="10"/>
        <v>1709</v>
      </c>
      <c r="AC254" s="280">
        <f>VLOOKUP(A254,'OPEB Amounts_Report'!$A$10:$F$321,6,FALSE)</f>
        <v>11880</v>
      </c>
      <c r="AD254" s="281">
        <f t="shared" si="11"/>
        <v>0</v>
      </c>
    </row>
    <row r="255" spans="1:30">
      <c r="A255" s="62">
        <v>9030</v>
      </c>
      <c r="B255" s="66" t="s">
        <v>243</v>
      </c>
      <c r="C255" s="90">
        <f>VLOOKUP(A255,'Change in Proportion Calc'!$A$5:$P$316,12,FALSE)</f>
        <v>729</v>
      </c>
      <c r="D255" s="90">
        <f>VLOOKUP(A255,'Change in Proportion Calc'!$A$5:$P$316,13,FALSE)</f>
        <v>729</v>
      </c>
      <c r="E255" s="90">
        <f>VLOOKUP(A255,'Change in Proportion Calc'!$A$5:$P$316,13,FALSE)</f>
        <v>729</v>
      </c>
      <c r="F255" s="90">
        <f>VLOOKUP(A255,'Change in Proportion Calc'!$A$5:$P$316,13,FALSE)</f>
        <v>729</v>
      </c>
      <c r="G255" s="90">
        <f>VLOOKUP(A255,'Change in Proportion Calc'!$A$5:$P$316,16,FALSE)</f>
        <v>714</v>
      </c>
      <c r="H255" s="255"/>
      <c r="I255" s="280">
        <v>172</v>
      </c>
      <c r="J255" s="280">
        <v>172</v>
      </c>
      <c r="K255" s="280">
        <v>172</v>
      </c>
      <c r="L255" s="280">
        <v>172</v>
      </c>
      <c r="M255" s="281">
        <v>167</v>
      </c>
      <c r="N255" s="65"/>
      <c r="O255" s="154">
        <v>-21247</v>
      </c>
      <c r="P255" s="154">
        <v>-21247</v>
      </c>
      <c r="Q255" s="154">
        <v>-21247</v>
      </c>
      <c r="R255" s="155">
        <v>-13599</v>
      </c>
      <c r="T255" s="197">
        <v>6808</v>
      </c>
      <c r="U255" s="197">
        <v>6808</v>
      </c>
      <c r="V255" s="197">
        <v>4901</v>
      </c>
      <c r="X255" s="281">
        <f>VLOOKUP(A255,'Change in Proportion Calc'!$A$5:$H$316,8,FALSE)+I255+O255+T255</f>
        <v>-13538</v>
      </c>
      <c r="Z255" s="280">
        <f t="shared" si="9"/>
        <v>16022</v>
      </c>
      <c r="AA255" s="280">
        <f t="shared" si="10"/>
        <v>56093</v>
      </c>
      <c r="AC255" s="280">
        <f>VLOOKUP(A255,'OPEB Amounts_Report'!$A$10:$F$321,6,FALSE)</f>
        <v>16022</v>
      </c>
      <c r="AD255" s="281">
        <f t="shared" si="11"/>
        <v>0</v>
      </c>
    </row>
    <row r="256" spans="1:30">
      <c r="A256" s="64">
        <v>20265</v>
      </c>
      <c r="B256" s="65" t="s">
        <v>244</v>
      </c>
      <c r="C256" s="90">
        <f>VLOOKUP(A256,'Change in Proportion Calc'!$A$5:$P$316,12,FALSE)</f>
        <v>-26241</v>
      </c>
      <c r="D256" s="90">
        <f>VLOOKUP(A256,'Change in Proportion Calc'!$A$5:$P$316,13,FALSE)</f>
        <v>-26241</v>
      </c>
      <c r="E256" s="90">
        <f>VLOOKUP(A256,'Change in Proportion Calc'!$A$5:$P$316,13,FALSE)</f>
        <v>-26241</v>
      </c>
      <c r="F256" s="90">
        <f>VLOOKUP(A256,'Change in Proportion Calc'!$A$5:$P$316,13,FALSE)</f>
        <v>-26241</v>
      </c>
      <c r="G256" s="90">
        <f>VLOOKUP(A256,'Change in Proportion Calc'!$A$5:$P$316,16,FALSE)</f>
        <v>-25714</v>
      </c>
      <c r="H256" s="255"/>
      <c r="I256" s="280">
        <v>17346</v>
      </c>
      <c r="J256" s="280">
        <v>17346</v>
      </c>
      <c r="K256" s="280">
        <v>17346</v>
      </c>
      <c r="L256" s="280">
        <v>17346</v>
      </c>
      <c r="M256" s="281">
        <v>16997</v>
      </c>
      <c r="N256" s="65"/>
      <c r="O256" s="154">
        <v>-2425</v>
      </c>
      <c r="P256" s="154">
        <v>-2425</v>
      </c>
      <c r="Q256" s="154">
        <v>-2425</v>
      </c>
      <c r="R256" s="155">
        <v>-1554</v>
      </c>
      <c r="T256" s="197">
        <v>6808</v>
      </c>
      <c r="U256" s="197">
        <v>6808</v>
      </c>
      <c r="V256" s="197">
        <v>4901</v>
      </c>
      <c r="X256" s="281">
        <f>VLOOKUP(A256,'Change in Proportion Calc'!$A$5:$H$316,8,FALSE)+I256+O256+T256</f>
        <v>-4512</v>
      </c>
      <c r="Z256" s="280">
        <f t="shared" si="9"/>
        <v>80744</v>
      </c>
      <c r="AA256" s="280">
        <f t="shared" si="10"/>
        <v>137082</v>
      </c>
      <c r="AC256" s="280">
        <f>VLOOKUP(A256,'OPEB Amounts_Report'!$A$10:$F$321,6,FALSE)</f>
        <v>80744</v>
      </c>
      <c r="AD256" s="281">
        <f t="shared" si="11"/>
        <v>0</v>
      </c>
    </row>
    <row r="257" spans="1:30">
      <c r="A257" s="62">
        <v>20307</v>
      </c>
      <c r="B257" s="66" t="s">
        <v>245</v>
      </c>
      <c r="C257" s="90">
        <f>VLOOKUP(A257,'Change in Proportion Calc'!$A$5:$P$316,12,FALSE)</f>
        <v>30776</v>
      </c>
      <c r="D257" s="90">
        <f>VLOOKUP(A257,'Change in Proportion Calc'!$A$5:$P$316,13,FALSE)</f>
        <v>30776</v>
      </c>
      <c r="E257" s="90">
        <f>VLOOKUP(A257,'Change in Proportion Calc'!$A$5:$P$316,13,FALSE)</f>
        <v>30776</v>
      </c>
      <c r="F257" s="90">
        <f>VLOOKUP(A257,'Change in Proportion Calc'!$A$5:$P$316,13,FALSE)</f>
        <v>30776</v>
      </c>
      <c r="G257" s="90">
        <f>VLOOKUP(A257,'Change in Proportion Calc'!$A$5:$P$316,16,FALSE)</f>
        <v>30160</v>
      </c>
      <c r="H257" s="255"/>
      <c r="I257" s="280">
        <v>3349</v>
      </c>
      <c r="J257" s="280">
        <v>3349</v>
      </c>
      <c r="K257" s="280">
        <v>3349</v>
      </c>
      <c r="L257" s="280">
        <v>3349</v>
      </c>
      <c r="M257" s="281">
        <v>3281</v>
      </c>
      <c r="N257" s="65"/>
      <c r="O257" s="154">
        <v>-39487</v>
      </c>
      <c r="P257" s="154">
        <v>-39487</v>
      </c>
      <c r="Q257" s="154">
        <v>-39487</v>
      </c>
      <c r="R257" s="155">
        <v>-25271</v>
      </c>
      <c r="T257" s="197">
        <v>71678</v>
      </c>
      <c r="U257" s="197">
        <v>71678</v>
      </c>
      <c r="V257" s="197">
        <v>51608</v>
      </c>
      <c r="X257" s="281">
        <f>VLOOKUP(A257,'Change in Proportion Calc'!$A$5:$H$316,8,FALSE)+I257+O257+T257</f>
        <v>66316</v>
      </c>
      <c r="Z257" s="280">
        <f t="shared" si="9"/>
        <v>289878</v>
      </c>
      <c r="AA257" s="280">
        <f t="shared" si="10"/>
        <v>104245</v>
      </c>
      <c r="AC257" s="280">
        <f>VLOOKUP(A257,'OPEB Amounts_Report'!$A$10:$F$321,6,FALSE)</f>
        <v>289878</v>
      </c>
      <c r="AD257" s="281">
        <f t="shared" si="11"/>
        <v>0</v>
      </c>
    </row>
    <row r="258" spans="1:30">
      <c r="A258" s="64">
        <v>3320</v>
      </c>
      <c r="B258" s="65" t="s">
        <v>246</v>
      </c>
      <c r="C258" s="90">
        <f>VLOOKUP(A258,'Change in Proportion Calc'!$A$5:$P$316,12,FALSE)</f>
        <v>70299</v>
      </c>
      <c r="D258" s="90">
        <f>VLOOKUP(A258,'Change in Proportion Calc'!$A$5:$P$316,13,FALSE)</f>
        <v>70299</v>
      </c>
      <c r="E258" s="90">
        <f>VLOOKUP(A258,'Change in Proportion Calc'!$A$5:$P$316,13,FALSE)</f>
        <v>70299</v>
      </c>
      <c r="F258" s="90">
        <f>VLOOKUP(A258,'Change in Proportion Calc'!$A$5:$P$316,13,FALSE)</f>
        <v>70299</v>
      </c>
      <c r="G258" s="90">
        <f>VLOOKUP(A258,'Change in Proportion Calc'!$A$5:$P$316,16,FALSE)</f>
        <v>68892</v>
      </c>
      <c r="H258" s="255"/>
      <c r="I258" s="280">
        <v>-154221</v>
      </c>
      <c r="J258" s="280">
        <v>-154221</v>
      </c>
      <c r="K258" s="280">
        <v>-154221</v>
      </c>
      <c r="L258" s="280">
        <v>-154221</v>
      </c>
      <c r="M258" s="281">
        <v>-151136</v>
      </c>
      <c r="N258" s="65"/>
      <c r="O258" s="154">
        <v>-149604</v>
      </c>
      <c r="P258" s="154">
        <v>-149604</v>
      </c>
      <c r="Q258" s="154">
        <v>-149604</v>
      </c>
      <c r="R258" s="155">
        <v>-95745</v>
      </c>
      <c r="T258" s="197">
        <v>71581</v>
      </c>
      <c r="U258" s="197">
        <v>71581</v>
      </c>
      <c r="V258" s="197">
        <v>51537</v>
      </c>
      <c r="X258" s="281">
        <f>VLOOKUP(A258,'Change in Proportion Calc'!$A$5:$H$316,8,FALSE)+I258+O258+T258</f>
        <v>-161945</v>
      </c>
      <c r="Z258" s="280">
        <f t="shared" si="9"/>
        <v>473206</v>
      </c>
      <c r="AA258" s="280">
        <f t="shared" si="10"/>
        <v>1008752</v>
      </c>
      <c r="AC258" s="280">
        <f>VLOOKUP(A258,'OPEB Amounts_Report'!$A$10:$F$321,6,FALSE)</f>
        <v>473206</v>
      </c>
      <c r="AD258" s="281">
        <f t="shared" si="11"/>
        <v>0</v>
      </c>
    </row>
    <row r="259" spans="1:30">
      <c r="A259" s="62">
        <v>20415</v>
      </c>
      <c r="B259" s="66" t="s">
        <v>247</v>
      </c>
      <c r="C259" s="90">
        <f>VLOOKUP(A259,'Change in Proportion Calc'!$A$5:$P$316,12,FALSE)</f>
        <v>6155</v>
      </c>
      <c r="D259" s="90">
        <f>VLOOKUP(A259,'Change in Proportion Calc'!$A$5:$P$316,13,FALSE)</f>
        <v>6155</v>
      </c>
      <c r="E259" s="90">
        <f>VLOOKUP(A259,'Change in Proportion Calc'!$A$5:$P$316,13,FALSE)</f>
        <v>6155</v>
      </c>
      <c r="F259" s="90">
        <f>VLOOKUP(A259,'Change in Proportion Calc'!$A$5:$P$316,13,FALSE)</f>
        <v>6155</v>
      </c>
      <c r="G259" s="90">
        <f>VLOOKUP(A259,'Change in Proportion Calc'!$A$5:$P$316,16,FALSE)</f>
        <v>6033</v>
      </c>
      <c r="H259" s="255"/>
      <c r="I259" s="280">
        <v>-20695</v>
      </c>
      <c r="J259" s="280">
        <v>-20695</v>
      </c>
      <c r="K259" s="280">
        <v>-20695</v>
      </c>
      <c r="L259" s="280">
        <v>-20695</v>
      </c>
      <c r="M259" s="281">
        <v>-20279</v>
      </c>
      <c r="N259" s="65"/>
      <c r="O259" s="154">
        <v>34054</v>
      </c>
      <c r="P259" s="154">
        <v>34054</v>
      </c>
      <c r="Q259" s="154">
        <v>34054</v>
      </c>
      <c r="R259" s="155">
        <v>21793</v>
      </c>
      <c r="T259" s="197">
        <v>-9045</v>
      </c>
      <c r="U259" s="197">
        <v>-9045</v>
      </c>
      <c r="V259" s="197">
        <v>-6512</v>
      </c>
      <c r="X259" s="281">
        <f>VLOOKUP(A259,'Change in Proportion Calc'!$A$5:$H$316,8,FALSE)+I259+O259+T259</f>
        <v>10469</v>
      </c>
      <c r="Z259" s="280">
        <f t="shared" si="9"/>
        <v>120554</v>
      </c>
      <c r="AA259" s="280">
        <f t="shared" si="10"/>
        <v>97921</v>
      </c>
      <c r="AC259" s="280">
        <f>VLOOKUP(A259,'OPEB Amounts_Report'!$A$10:$F$321,6,FALSE)</f>
        <v>120554</v>
      </c>
      <c r="AD259" s="281">
        <f t="shared" si="11"/>
        <v>0</v>
      </c>
    </row>
    <row r="260" spans="1:30">
      <c r="A260" s="64">
        <v>20435</v>
      </c>
      <c r="B260" s="65" t="s">
        <v>441</v>
      </c>
      <c r="C260" s="90">
        <f>VLOOKUP(A260,'Change in Proportion Calc'!$A$5:$P$316,12,FALSE)</f>
        <v>1053</v>
      </c>
      <c r="D260" s="90">
        <f>VLOOKUP(A260,'Change in Proportion Calc'!$A$5:$P$316,13,FALSE)</f>
        <v>1053</v>
      </c>
      <c r="E260" s="90">
        <f>VLOOKUP(A260,'Change in Proportion Calc'!$A$5:$P$316,13,FALSE)</f>
        <v>1053</v>
      </c>
      <c r="F260" s="90">
        <f>VLOOKUP(A260,'Change in Proportion Calc'!$A$5:$P$316,13,FALSE)</f>
        <v>1053</v>
      </c>
      <c r="G260" s="90">
        <f>VLOOKUP(A260,'Change in Proportion Calc'!$A$5:$P$316,16,FALSE)</f>
        <v>1031</v>
      </c>
      <c r="H260" s="255"/>
      <c r="I260" s="280">
        <v>18891</v>
      </c>
      <c r="J260" s="280">
        <v>18891</v>
      </c>
      <c r="K260" s="280">
        <v>18891</v>
      </c>
      <c r="L260" s="280">
        <v>18891</v>
      </c>
      <c r="M260" s="281">
        <v>18514</v>
      </c>
      <c r="N260" s="65"/>
      <c r="O260" s="154">
        <v>-42397</v>
      </c>
      <c r="P260" s="154">
        <v>-42397</v>
      </c>
      <c r="Q260" s="154">
        <v>-42397</v>
      </c>
      <c r="R260" s="155">
        <v>-27136</v>
      </c>
      <c r="T260" s="197">
        <v>36179</v>
      </c>
      <c r="U260" s="197">
        <v>36179</v>
      </c>
      <c r="V260" s="197">
        <v>26051</v>
      </c>
      <c r="X260" s="281">
        <f>VLOOKUP(A260,'Change in Proportion Calc'!$A$5:$H$316,8,FALSE)+I260+O260+T260</f>
        <v>13726</v>
      </c>
      <c r="Z260" s="280">
        <f t="shared" si="9"/>
        <v>142660</v>
      </c>
      <c r="AA260" s="280">
        <f t="shared" si="10"/>
        <v>111930</v>
      </c>
      <c r="AC260" s="280">
        <f>VLOOKUP(A260,'OPEB Amounts_Report'!$A$10:$F$321,6,FALSE)</f>
        <v>142660</v>
      </c>
      <c r="AD260" s="281">
        <f t="shared" si="11"/>
        <v>0</v>
      </c>
    </row>
    <row r="261" spans="1:30">
      <c r="A261" s="62">
        <v>20062</v>
      </c>
      <c r="B261" s="66" t="s">
        <v>248</v>
      </c>
      <c r="C261" s="90">
        <f>VLOOKUP(A261,'Change in Proportion Calc'!$A$5:$P$316,12,FALSE)</f>
        <v>101237</v>
      </c>
      <c r="D261" s="90">
        <f>VLOOKUP(A261,'Change in Proportion Calc'!$A$5:$P$316,13,FALSE)</f>
        <v>101237</v>
      </c>
      <c r="E261" s="90">
        <f>VLOOKUP(A261,'Change in Proportion Calc'!$A$5:$P$316,13,FALSE)</f>
        <v>101237</v>
      </c>
      <c r="F261" s="90">
        <f>VLOOKUP(A261,'Change in Proportion Calc'!$A$5:$P$316,13,FALSE)</f>
        <v>101237</v>
      </c>
      <c r="G261" s="90">
        <f>VLOOKUP(A261,'Change in Proportion Calc'!$A$5:$P$316,16,FALSE)</f>
        <v>99211</v>
      </c>
      <c r="H261" s="255"/>
      <c r="I261" s="280">
        <v>5324</v>
      </c>
      <c r="J261" s="280">
        <v>5324</v>
      </c>
      <c r="K261" s="280">
        <v>5324</v>
      </c>
      <c r="L261" s="280">
        <v>5324</v>
      </c>
      <c r="M261" s="281">
        <v>5217</v>
      </c>
      <c r="N261" s="65"/>
      <c r="O261" s="154">
        <v>31434</v>
      </c>
      <c r="P261" s="154">
        <v>31434</v>
      </c>
      <c r="Q261" s="154">
        <v>31434</v>
      </c>
      <c r="R261" s="155">
        <v>20119</v>
      </c>
      <c r="T261" s="197">
        <v>-104162</v>
      </c>
      <c r="U261" s="197">
        <v>-104162</v>
      </c>
      <c r="V261" s="197">
        <v>-74995</v>
      </c>
      <c r="X261" s="281">
        <f>VLOOKUP(A261,'Change in Proportion Calc'!$A$5:$H$316,8,FALSE)+I261+O261+T261</f>
        <v>33833</v>
      </c>
      <c r="Z261" s="280">
        <f t="shared" si="9"/>
        <v>608335</v>
      </c>
      <c r="AA261" s="280">
        <f t="shared" si="10"/>
        <v>179157</v>
      </c>
      <c r="AC261" s="280">
        <f>VLOOKUP(A261,'OPEB Amounts_Report'!$A$10:$F$321,6,FALSE)</f>
        <v>608335</v>
      </c>
      <c r="AD261" s="281">
        <f t="shared" si="11"/>
        <v>0</v>
      </c>
    </row>
    <row r="262" spans="1:30">
      <c r="A262" s="64">
        <v>6020</v>
      </c>
      <c r="B262" s="65" t="s">
        <v>249</v>
      </c>
      <c r="C262" s="90">
        <f>VLOOKUP(A262,'Change in Proportion Calc'!$A$5:$P$316,12,FALSE)</f>
        <v>18628</v>
      </c>
      <c r="D262" s="90">
        <f>VLOOKUP(A262,'Change in Proportion Calc'!$A$5:$P$316,13,FALSE)</f>
        <v>18628</v>
      </c>
      <c r="E262" s="90">
        <f>VLOOKUP(A262,'Change in Proportion Calc'!$A$5:$P$316,13,FALSE)</f>
        <v>18628</v>
      </c>
      <c r="F262" s="90">
        <f>VLOOKUP(A262,'Change in Proportion Calc'!$A$5:$P$316,13,FALSE)</f>
        <v>18628</v>
      </c>
      <c r="G262" s="90">
        <f>VLOOKUP(A262,'Change in Proportion Calc'!$A$5:$P$316,16,FALSE)</f>
        <v>18253</v>
      </c>
      <c r="H262" s="255"/>
      <c r="I262" s="280">
        <v>-3606</v>
      </c>
      <c r="J262" s="280">
        <v>-3606</v>
      </c>
      <c r="K262" s="280">
        <v>-3606</v>
      </c>
      <c r="L262" s="280">
        <v>-3606</v>
      </c>
      <c r="M262" s="281">
        <v>-3536</v>
      </c>
      <c r="N262" s="65"/>
      <c r="O262" s="154">
        <v>11642</v>
      </c>
      <c r="P262" s="154">
        <v>11642</v>
      </c>
      <c r="Q262" s="154">
        <v>11642</v>
      </c>
      <c r="R262" s="155">
        <v>7453</v>
      </c>
      <c r="T262" s="197">
        <v>-37930</v>
      </c>
      <c r="U262" s="197">
        <v>-37930</v>
      </c>
      <c r="V262" s="197">
        <v>-27310</v>
      </c>
      <c r="X262" s="281">
        <f>VLOOKUP(A262,'Change in Proportion Calc'!$A$5:$H$316,8,FALSE)+I262+O262+T262</f>
        <v>-11266</v>
      </c>
      <c r="Z262" s="280">
        <f t="shared" si="9"/>
        <v>123502</v>
      </c>
      <c r="AA262" s="280">
        <f t="shared" si="10"/>
        <v>79594</v>
      </c>
      <c r="AC262" s="280">
        <f>VLOOKUP(A262,'OPEB Amounts_Report'!$A$10:$F$321,6,FALSE)</f>
        <v>123502</v>
      </c>
      <c r="AD262" s="281">
        <f t="shared" si="11"/>
        <v>0</v>
      </c>
    </row>
    <row r="263" spans="1:30">
      <c r="A263" s="62">
        <v>2394</v>
      </c>
      <c r="B263" s="66" t="s">
        <v>250</v>
      </c>
      <c r="C263" s="90">
        <f>VLOOKUP(A263,'Change in Proportion Calc'!$A$5:$P$316,12,FALSE)</f>
        <v>8342</v>
      </c>
      <c r="D263" s="90">
        <f>VLOOKUP(A263,'Change in Proportion Calc'!$A$5:$P$316,13,FALSE)</f>
        <v>8342</v>
      </c>
      <c r="E263" s="90">
        <f>VLOOKUP(A263,'Change in Proportion Calc'!$A$5:$P$316,13,FALSE)</f>
        <v>8342</v>
      </c>
      <c r="F263" s="90">
        <f>VLOOKUP(A263,'Change in Proportion Calc'!$A$5:$P$316,13,FALSE)</f>
        <v>8342</v>
      </c>
      <c r="G263" s="90">
        <f>VLOOKUP(A263,'Change in Proportion Calc'!$A$5:$P$316,16,FALSE)</f>
        <v>8175</v>
      </c>
      <c r="H263" s="255"/>
      <c r="I263" s="280">
        <v>4207</v>
      </c>
      <c r="J263" s="280">
        <v>4207</v>
      </c>
      <c r="K263" s="280">
        <v>4207</v>
      </c>
      <c r="L263" s="280">
        <v>4207</v>
      </c>
      <c r="M263" s="281">
        <v>4125</v>
      </c>
      <c r="N263" s="65"/>
      <c r="O263" s="154">
        <v>19501</v>
      </c>
      <c r="P263" s="154">
        <v>19501</v>
      </c>
      <c r="Q263" s="154">
        <v>19501</v>
      </c>
      <c r="R263" s="155">
        <v>12480</v>
      </c>
      <c r="T263" s="197">
        <v>88309</v>
      </c>
      <c r="U263" s="197">
        <v>88309</v>
      </c>
      <c r="V263" s="197">
        <v>63582</v>
      </c>
      <c r="X263" s="281">
        <f>VLOOKUP(A263,'Change in Proportion Calc'!$A$5:$H$316,8,FALSE)+I263+O263+T263</f>
        <v>120359</v>
      </c>
      <c r="Z263" s="280">
        <f t="shared" si="9"/>
        <v>261662</v>
      </c>
      <c r="AA263" s="280">
        <f t="shared" si="10"/>
        <v>0</v>
      </c>
      <c r="AC263" s="280">
        <f>VLOOKUP(A263,'OPEB Amounts_Report'!$A$10:$F$321,6,FALSE)</f>
        <v>261662</v>
      </c>
      <c r="AD263" s="281">
        <f t="shared" si="11"/>
        <v>0</v>
      </c>
    </row>
    <row r="264" spans="1:30">
      <c r="A264" s="64">
        <v>5015</v>
      </c>
      <c r="B264" s="65" t="s">
        <v>251</v>
      </c>
      <c r="C264" s="90">
        <f>VLOOKUP(A264,'Change in Proportion Calc'!$A$5:$P$316,12,FALSE)</f>
        <v>22353</v>
      </c>
      <c r="D264" s="90">
        <f>VLOOKUP(A264,'Change in Proportion Calc'!$A$5:$P$316,13,FALSE)</f>
        <v>22353</v>
      </c>
      <c r="E264" s="90">
        <f>VLOOKUP(A264,'Change in Proportion Calc'!$A$5:$P$316,13,FALSE)</f>
        <v>22353</v>
      </c>
      <c r="F264" s="90">
        <f>VLOOKUP(A264,'Change in Proportion Calc'!$A$5:$P$316,13,FALSE)</f>
        <v>22353</v>
      </c>
      <c r="G264" s="90">
        <f>VLOOKUP(A264,'Change in Proportion Calc'!$A$5:$P$316,16,FALSE)</f>
        <v>21906</v>
      </c>
      <c r="H264" s="255"/>
      <c r="I264" s="280">
        <v>12022</v>
      </c>
      <c r="J264" s="280">
        <v>12022</v>
      </c>
      <c r="K264" s="280">
        <v>12022</v>
      </c>
      <c r="L264" s="280">
        <v>12022</v>
      </c>
      <c r="M264" s="281">
        <v>11780</v>
      </c>
      <c r="N264" s="65"/>
      <c r="O264" s="154">
        <v>11739</v>
      </c>
      <c r="P264" s="154">
        <v>11739</v>
      </c>
      <c r="Q264" s="154">
        <v>11739</v>
      </c>
      <c r="R264" s="155">
        <v>7515</v>
      </c>
      <c r="T264" s="197">
        <v>-40556</v>
      </c>
      <c r="U264" s="197">
        <v>-40556</v>
      </c>
      <c r="V264" s="197">
        <v>-29200</v>
      </c>
      <c r="X264" s="281">
        <f>VLOOKUP(A264,'Change in Proportion Calc'!$A$5:$H$316,8,FALSE)+I264+O264+T264</f>
        <v>5558</v>
      </c>
      <c r="Z264" s="280">
        <f t="shared" si="9"/>
        <v>190157</v>
      </c>
      <c r="AA264" s="280">
        <f t="shared" si="10"/>
        <v>69756</v>
      </c>
      <c r="AC264" s="280">
        <f>VLOOKUP(A264,'OPEB Amounts_Report'!$A$10:$F$321,6,FALSE)</f>
        <v>190157</v>
      </c>
      <c r="AD264" s="281">
        <f t="shared" si="11"/>
        <v>0</v>
      </c>
    </row>
    <row r="265" spans="1:30">
      <c r="A265" s="62">
        <v>29408</v>
      </c>
      <c r="B265" s="66" t="s">
        <v>252</v>
      </c>
      <c r="C265" s="90">
        <f>VLOOKUP(A265,'Change in Proportion Calc'!$A$5:$P$316,12,FALSE)</f>
        <v>40171</v>
      </c>
      <c r="D265" s="90">
        <f>VLOOKUP(A265,'Change in Proportion Calc'!$A$5:$P$316,13,FALSE)</f>
        <v>40171</v>
      </c>
      <c r="E265" s="90">
        <f>VLOOKUP(A265,'Change in Proportion Calc'!$A$5:$P$316,13,FALSE)</f>
        <v>40171</v>
      </c>
      <c r="F265" s="90">
        <f>VLOOKUP(A265,'Change in Proportion Calc'!$A$5:$P$316,13,FALSE)</f>
        <v>40171</v>
      </c>
      <c r="G265" s="90">
        <f>VLOOKUP(A265,'Change in Proportion Calc'!$A$5:$P$316,16,FALSE)</f>
        <v>39366</v>
      </c>
      <c r="H265" s="255"/>
      <c r="I265" s="280">
        <v>25246</v>
      </c>
      <c r="J265" s="280">
        <v>25246</v>
      </c>
      <c r="K265" s="280">
        <v>25246</v>
      </c>
      <c r="L265" s="280">
        <v>25246</v>
      </c>
      <c r="M265" s="281">
        <v>24739</v>
      </c>
      <c r="N265" s="65"/>
      <c r="O265" s="154">
        <v>20277</v>
      </c>
      <c r="P265" s="154">
        <v>20277</v>
      </c>
      <c r="Q265" s="154">
        <v>20277</v>
      </c>
      <c r="R265" s="155">
        <v>12977</v>
      </c>
      <c r="T265" s="197">
        <v>12643</v>
      </c>
      <c r="U265" s="197">
        <v>12643</v>
      </c>
      <c r="V265" s="197">
        <v>9105</v>
      </c>
      <c r="X265" s="281">
        <f>VLOOKUP(A265,'Change in Proportion Calc'!$A$5:$H$316,8,FALSE)+I265+O265+T265</f>
        <v>98337</v>
      </c>
      <c r="Z265" s="280">
        <f t="shared" ref="Z265:Z319" si="12">IF(SUM(C265:G265)&gt;0,SUM(C265:G265),0)+IF(SUM(J265:M265)&gt;0,SUM(J265:M265),0)+IF(SUM(P265:R265)&gt;0,SUM(P265:R265),0)+IF(SUM(U265:V265)&gt;0,SUM(U265:V265),0)</f>
        <v>375806</v>
      </c>
      <c r="AA265" s="280">
        <f t="shared" ref="AA265:AA319" si="13">IF(SUM(C265:G265)&lt;0,-SUM(C265:G265),0)+IF(SUM(J265:M265)&lt;0,-SUM(J265:M265),0)+IF(SUM(P265:R265)&lt;0,-SUM(P265:R265),0)+IF(SUM(U265:V265)&lt;0,-SUM(U265:V265),0)</f>
        <v>0</v>
      </c>
      <c r="AC265" s="280">
        <f>VLOOKUP(A265,'OPEB Amounts_Report'!$A$10:$F$321,6,FALSE)</f>
        <v>375806</v>
      </c>
      <c r="AD265" s="281">
        <f t="shared" ref="AD265:AD319" si="14">+Z265-AC265</f>
        <v>0</v>
      </c>
    </row>
    <row r="266" spans="1:30">
      <c r="A266" s="64">
        <v>2413</v>
      </c>
      <c r="B266" s="65" t="s">
        <v>253</v>
      </c>
      <c r="C266" s="90">
        <f>VLOOKUP(A266,'Change in Proportion Calc'!$A$5:$P$316,12,FALSE)</f>
        <v>-25188</v>
      </c>
      <c r="D266" s="90">
        <f>VLOOKUP(A266,'Change in Proportion Calc'!$A$5:$P$316,13,FALSE)</f>
        <v>-25188</v>
      </c>
      <c r="E266" s="90">
        <f>VLOOKUP(A266,'Change in Proportion Calc'!$A$5:$P$316,13,FALSE)</f>
        <v>-25188</v>
      </c>
      <c r="F266" s="90">
        <f>VLOOKUP(A266,'Change in Proportion Calc'!$A$5:$P$316,13,FALSE)</f>
        <v>-25188</v>
      </c>
      <c r="G266" s="90">
        <f>VLOOKUP(A266,'Change in Proportion Calc'!$A$5:$P$316,16,FALSE)</f>
        <v>-24683</v>
      </c>
      <c r="H266" s="255"/>
      <c r="I266" s="280">
        <v>-515</v>
      </c>
      <c r="J266" s="280">
        <v>-515</v>
      </c>
      <c r="K266" s="280">
        <v>-515</v>
      </c>
      <c r="L266" s="280">
        <v>-515</v>
      </c>
      <c r="M266" s="281">
        <v>-506</v>
      </c>
      <c r="N266" s="65"/>
      <c r="O266" s="154">
        <v>-4754</v>
      </c>
      <c r="P266" s="154">
        <v>-4754</v>
      </c>
      <c r="Q266" s="154">
        <v>-4754</v>
      </c>
      <c r="R266" s="155">
        <v>-3042</v>
      </c>
      <c r="T266" s="197">
        <v>-43474</v>
      </c>
      <c r="U266" s="197">
        <v>-43474</v>
      </c>
      <c r="V266" s="197">
        <v>-31299</v>
      </c>
      <c r="X266" s="281">
        <f>VLOOKUP(A266,'Change in Proportion Calc'!$A$5:$H$316,8,FALSE)+I266+O266+T266</f>
        <v>-73931</v>
      </c>
      <c r="Z266" s="280">
        <f t="shared" si="12"/>
        <v>0</v>
      </c>
      <c r="AA266" s="280">
        <f t="shared" si="13"/>
        <v>214809</v>
      </c>
      <c r="AC266" s="280">
        <f>VLOOKUP(A266,'OPEB Amounts_Report'!$A$10:$F$321,6,FALSE)</f>
        <v>0</v>
      </c>
      <c r="AD266" s="281">
        <f t="shared" si="14"/>
        <v>0</v>
      </c>
    </row>
    <row r="267" spans="1:30">
      <c r="A267" s="62">
        <v>1398</v>
      </c>
      <c r="B267" s="66" t="s">
        <v>254</v>
      </c>
      <c r="C267" s="90">
        <f>VLOOKUP(A267,'Change in Proportion Calc'!$A$5:$P$316,12,FALSE)</f>
        <v>-6560</v>
      </c>
      <c r="D267" s="90">
        <f>VLOOKUP(A267,'Change in Proportion Calc'!$A$5:$P$316,13,FALSE)</f>
        <v>-6560</v>
      </c>
      <c r="E267" s="90">
        <f>VLOOKUP(A267,'Change in Proportion Calc'!$A$5:$P$316,13,FALSE)</f>
        <v>-6560</v>
      </c>
      <c r="F267" s="90">
        <f>VLOOKUP(A267,'Change in Proportion Calc'!$A$5:$P$316,13,FALSE)</f>
        <v>-6560</v>
      </c>
      <c r="G267" s="90">
        <f>VLOOKUP(A267,'Change in Proportion Calc'!$A$5:$P$316,16,FALSE)</f>
        <v>-6430</v>
      </c>
      <c r="H267" s="255"/>
      <c r="I267" s="280">
        <v>17775</v>
      </c>
      <c r="J267" s="280">
        <v>17775</v>
      </c>
      <c r="K267" s="280">
        <v>17775</v>
      </c>
      <c r="L267" s="280">
        <v>17775</v>
      </c>
      <c r="M267" s="281">
        <v>17419</v>
      </c>
      <c r="N267" s="65"/>
      <c r="O267" s="154">
        <v>10575</v>
      </c>
      <c r="P267" s="154">
        <v>10575</v>
      </c>
      <c r="Q267" s="154">
        <v>10575</v>
      </c>
      <c r="R267" s="155">
        <v>6769</v>
      </c>
      <c r="T267" s="197">
        <v>10018</v>
      </c>
      <c r="U267" s="197">
        <v>10018</v>
      </c>
      <c r="V267" s="197">
        <v>7211</v>
      </c>
      <c r="X267" s="281">
        <f>VLOOKUP(A267,'Change in Proportion Calc'!$A$5:$H$316,8,FALSE)+I267+O267+T267</f>
        <v>31808</v>
      </c>
      <c r="Z267" s="280">
        <f t="shared" si="12"/>
        <v>115892</v>
      </c>
      <c r="AA267" s="280">
        <f t="shared" si="13"/>
        <v>32670</v>
      </c>
      <c r="AC267" s="280">
        <f>VLOOKUP(A267,'OPEB Amounts_Report'!$A$10:$F$321,6,FALSE)</f>
        <v>115892</v>
      </c>
      <c r="AD267" s="281">
        <f t="shared" si="14"/>
        <v>0</v>
      </c>
    </row>
    <row r="268" spans="1:30">
      <c r="A268" s="64">
        <v>2366</v>
      </c>
      <c r="B268" s="65" t="s">
        <v>255</v>
      </c>
      <c r="C268" s="90">
        <f>VLOOKUP(A268,'Change in Proportion Calc'!$A$5:$P$316,12,FALSE)</f>
        <v>6641</v>
      </c>
      <c r="D268" s="90">
        <f>VLOOKUP(A268,'Change in Proportion Calc'!$A$5:$P$316,13,FALSE)</f>
        <v>6641</v>
      </c>
      <c r="E268" s="90">
        <f>VLOOKUP(A268,'Change in Proportion Calc'!$A$5:$P$316,13,FALSE)</f>
        <v>6641</v>
      </c>
      <c r="F268" s="90">
        <f>VLOOKUP(A268,'Change in Proportion Calc'!$A$5:$P$316,13,FALSE)</f>
        <v>6641</v>
      </c>
      <c r="G268" s="90">
        <f>VLOOKUP(A268,'Change in Proportion Calc'!$A$5:$P$316,16,FALSE)</f>
        <v>6509</v>
      </c>
      <c r="H268" s="255"/>
      <c r="I268" s="280">
        <v>-15542</v>
      </c>
      <c r="J268" s="280">
        <v>-15542</v>
      </c>
      <c r="K268" s="280">
        <v>-15542</v>
      </c>
      <c r="L268" s="280">
        <v>-15542</v>
      </c>
      <c r="M268" s="281">
        <v>-15233</v>
      </c>
      <c r="N268" s="65"/>
      <c r="O268" s="154">
        <v>-6791</v>
      </c>
      <c r="P268" s="154">
        <v>-6791</v>
      </c>
      <c r="Q268" s="154">
        <v>-6791</v>
      </c>
      <c r="R268" s="155">
        <v>-4348</v>
      </c>
      <c r="T268" s="197">
        <v>-16144</v>
      </c>
      <c r="U268" s="197">
        <v>-16144</v>
      </c>
      <c r="V268" s="197">
        <v>-11626</v>
      </c>
      <c r="X268" s="281">
        <f>VLOOKUP(A268,'Change in Proportion Calc'!$A$5:$H$316,8,FALSE)+I268+O268+T268</f>
        <v>-31836</v>
      </c>
      <c r="Z268" s="280">
        <f t="shared" si="12"/>
        <v>33073</v>
      </c>
      <c r="AA268" s="280">
        <f t="shared" si="13"/>
        <v>107559</v>
      </c>
      <c r="AC268" s="280">
        <f>VLOOKUP(A268,'OPEB Amounts_Report'!$A$10:$F$321,6,FALSE)</f>
        <v>33073</v>
      </c>
      <c r="AD268" s="281">
        <f t="shared" si="14"/>
        <v>0</v>
      </c>
    </row>
    <row r="269" spans="1:30">
      <c r="A269" s="62">
        <v>7421</v>
      </c>
      <c r="B269" s="66" t="s">
        <v>256</v>
      </c>
      <c r="C269" s="90">
        <f>VLOOKUP(A269,'Change in Proportion Calc'!$A$5:$P$316,12,FALSE)</f>
        <v>3240</v>
      </c>
      <c r="D269" s="90">
        <f>VLOOKUP(A269,'Change in Proportion Calc'!$A$5:$P$316,13,FALSE)</f>
        <v>3240</v>
      </c>
      <c r="E269" s="90">
        <f>VLOOKUP(A269,'Change in Proportion Calc'!$A$5:$P$316,13,FALSE)</f>
        <v>3240</v>
      </c>
      <c r="F269" s="90">
        <f>VLOOKUP(A269,'Change in Proportion Calc'!$A$5:$P$316,13,FALSE)</f>
        <v>3240</v>
      </c>
      <c r="G269" s="90">
        <f>VLOOKUP(A269,'Change in Proportion Calc'!$A$5:$P$316,16,FALSE)</f>
        <v>3173</v>
      </c>
      <c r="H269" s="255"/>
      <c r="I269" s="280">
        <v>-50319</v>
      </c>
      <c r="J269" s="280">
        <v>-50319</v>
      </c>
      <c r="K269" s="280">
        <v>-50319</v>
      </c>
      <c r="L269" s="280">
        <v>-50319</v>
      </c>
      <c r="M269" s="281">
        <v>-49314</v>
      </c>
      <c r="N269" s="65"/>
      <c r="O269" s="154">
        <v>20762</v>
      </c>
      <c r="P269" s="154">
        <v>20762</v>
      </c>
      <c r="Q269" s="154">
        <v>20762</v>
      </c>
      <c r="R269" s="155">
        <v>13288</v>
      </c>
      <c r="T269" s="197">
        <v>-35888</v>
      </c>
      <c r="U269" s="197">
        <v>-35888</v>
      </c>
      <c r="V269" s="197">
        <v>-25837</v>
      </c>
      <c r="X269" s="281">
        <f>VLOOKUP(A269,'Change in Proportion Calc'!$A$5:$H$316,8,FALSE)+I269+O269+T269</f>
        <v>-62205</v>
      </c>
      <c r="Z269" s="280">
        <f t="shared" si="12"/>
        <v>70945</v>
      </c>
      <c r="AA269" s="280">
        <f t="shared" si="13"/>
        <v>261996</v>
      </c>
      <c r="AC269" s="280">
        <f>VLOOKUP(A269,'OPEB Amounts_Report'!$A$10:$F$321,6,FALSE)</f>
        <v>70945</v>
      </c>
      <c r="AD269" s="281">
        <f t="shared" si="14"/>
        <v>0</v>
      </c>
    </row>
    <row r="270" spans="1:30">
      <c r="A270" s="64">
        <v>2370</v>
      </c>
      <c r="B270" s="65" t="s">
        <v>257</v>
      </c>
      <c r="C270" s="90">
        <f>VLOOKUP(A270,'Change in Proportion Calc'!$A$5:$P$316,12,FALSE)</f>
        <v>14578</v>
      </c>
      <c r="D270" s="90">
        <f>VLOOKUP(A270,'Change in Proportion Calc'!$A$5:$P$316,13,FALSE)</f>
        <v>14578</v>
      </c>
      <c r="E270" s="90">
        <f>VLOOKUP(A270,'Change in Proportion Calc'!$A$5:$P$316,13,FALSE)</f>
        <v>14578</v>
      </c>
      <c r="F270" s="90">
        <f>VLOOKUP(A270,'Change in Proportion Calc'!$A$5:$P$316,13,FALSE)</f>
        <v>14578</v>
      </c>
      <c r="G270" s="90">
        <f>VLOOKUP(A270,'Change in Proportion Calc'!$A$5:$P$316,16,FALSE)</f>
        <v>14287</v>
      </c>
      <c r="H270" s="255"/>
      <c r="I270" s="280">
        <v>17861</v>
      </c>
      <c r="J270" s="280">
        <v>17861</v>
      </c>
      <c r="K270" s="280">
        <v>17861</v>
      </c>
      <c r="L270" s="280">
        <v>17861</v>
      </c>
      <c r="M270" s="281">
        <v>17502</v>
      </c>
      <c r="N270" s="65"/>
      <c r="O270" s="154">
        <v>15232</v>
      </c>
      <c r="P270" s="154">
        <v>15232</v>
      </c>
      <c r="Q270" s="154">
        <v>15232</v>
      </c>
      <c r="R270" s="155">
        <v>9749</v>
      </c>
      <c r="T270" s="197">
        <v>-38514</v>
      </c>
      <c r="U270" s="197">
        <v>-38514</v>
      </c>
      <c r="V270" s="197">
        <v>-27728</v>
      </c>
      <c r="X270" s="281">
        <f>VLOOKUP(A270,'Change in Proportion Calc'!$A$5:$H$316,8,FALSE)+I270+O270+T270</f>
        <v>9157</v>
      </c>
      <c r="Z270" s="280">
        <f t="shared" si="12"/>
        <v>183897</v>
      </c>
      <c r="AA270" s="280">
        <f t="shared" si="13"/>
        <v>66242</v>
      </c>
      <c r="AC270" s="280">
        <f>VLOOKUP(A270,'OPEB Amounts_Report'!$A$10:$F$321,6,FALSE)</f>
        <v>183897</v>
      </c>
      <c r="AD270" s="281">
        <f t="shared" si="14"/>
        <v>0</v>
      </c>
    </row>
    <row r="271" spans="1:30">
      <c r="A271" s="62">
        <v>32094</v>
      </c>
      <c r="B271" s="66" t="s">
        <v>258</v>
      </c>
      <c r="C271" s="90">
        <f>VLOOKUP(A271,'Change in Proportion Calc'!$A$5:$P$316,12,FALSE)</f>
        <v>8018</v>
      </c>
      <c r="D271" s="90">
        <f>VLOOKUP(A271,'Change in Proportion Calc'!$A$5:$P$316,13,FALSE)</f>
        <v>8018</v>
      </c>
      <c r="E271" s="90">
        <f>VLOOKUP(A271,'Change in Proportion Calc'!$A$5:$P$316,13,FALSE)</f>
        <v>8018</v>
      </c>
      <c r="F271" s="90">
        <f>VLOOKUP(A271,'Change in Proportion Calc'!$A$5:$P$316,13,FALSE)</f>
        <v>8018</v>
      </c>
      <c r="G271" s="90">
        <f>VLOOKUP(A271,'Change in Proportion Calc'!$A$5:$P$316,16,FALSE)</f>
        <v>7857</v>
      </c>
      <c r="H271" s="255"/>
      <c r="I271" s="280">
        <v>11678</v>
      </c>
      <c r="J271" s="280">
        <v>11678</v>
      </c>
      <c r="K271" s="280">
        <v>11678</v>
      </c>
      <c r="L271" s="280">
        <v>11678</v>
      </c>
      <c r="M271" s="281">
        <v>11446</v>
      </c>
      <c r="N271" s="65"/>
      <c r="O271" s="154">
        <v>-4948</v>
      </c>
      <c r="P271" s="154">
        <v>-4948</v>
      </c>
      <c r="Q271" s="154">
        <v>-4948</v>
      </c>
      <c r="R271" s="155">
        <v>-3167</v>
      </c>
      <c r="T271" s="197">
        <v>-22758</v>
      </c>
      <c r="U271" s="197">
        <v>-22758</v>
      </c>
      <c r="V271" s="197">
        <v>-16386</v>
      </c>
      <c r="X271" s="281">
        <f>VLOOKUP(A271,'Change in Proportion Calc'!$A$5:$H$316,8,FALSE)+I271+O271+T271</f>
        <v>-8010</v>
      </c>
      <c r="Z271" s="280">
        <f t="shared" si="12"/>
        <v>86409</v>
      </c>
      <c r="AA271" s="280">
        <f t="shared" si="13"/>
        <v>52207</v>
      </c>
      <c r="AC271" s="280">
        <f>VLOOKUP(A271,'OPEB Amounts_Report'!$A$10:$F$321,6,FALSE)</f>
        <v>86409</v>
      </c>
      <c r="AD271" s="281">
        <f t="shared" si="14"/>
        <v>0</v>
      </c>
    </row>
    <row r="272" spans="1:30">
      <c r="A272" s="64">
        <v>2790</v>
      </c>
      <c r="B272" s="65" t="s">
        <v>259</v>
      </c>
      <c r="C272" s="90">
        <f>VLOOKUP(A272,'Change in Proportion Calc'!$A$5:$P$316,12,FALSE)</f>
        <v>8261</v>
      </c>
      <c r="D272" s="90">
        <f>VLOOKUP(A272,'Change in Proportion Calc'!$A$5:$P$316,13,FALSE)</f>
        <v>8261</v>
      </c>
      <c r="E272" s="90">
        <f>VLOOKUP(A272,'Change in Proportion Calc'!$A$5:$P$316,13,FALSE)</f>
        <v>8261</v>
      </c>
      <c r="F272" s="90">
        <f>VLOOKUP(A272,'Change in Proportion Calc'!$A$5:$P$316,13,FALSE)</f>
        <v>8261</v>
      </c>
      <c r="G272" s="90">
        <f>VLOOKUP(A272,'Change in Proportion Calc'!$A$5:$P$316,16,FALSE)</f>
        <v>8095</v>
      </c>
      <c r="H272" s="255"/>
      <c r="I272" s="280">
        <v>-12795</v>
      </c>
      <c r="J272" s="280">
        <v>-12795</v>
      </c>
      <c r="K272" s="280">
        <v>-12795</v>
      </c>
      <c r="L272" s="280">
        <v>-12795</v>
      </c>
      <c r="M272" s="281">
        <v>-12537</v>
      </c>
      <c r="N272" s="65"/>
      <c r="O272" s="154">
        <v>873</v>
      </c>
      <c r="P272" s="154">
        <v>873</v>
      </c>
      <c r="Q272" s="154">
        <v>873</v>
      </c>
      <c r="R272" s="155">
        <v>560</v>
      </c>
      <c r="T272" s="197">
        <v>-3988</v>
      </c>
      <c r="U272" s="197">
        <v>-3988</v>
      </c>
      <c r="V272" s="197">
        <v>-2869</v>
      </c>
      <c r="X272" s="281">
        <f>VLOOKUP(A272,'Change in Proportion Calc'!$A$5:$H$316,8,FALSE)+I272+O272+T272</f>
        <v>-7649</v>
      </c>
      <c r="Z272" s="280">
        <f t="shared" si="12"/>
        <v>43445</v>
      </c>
      <c r="AA272" s="280">
        <f t="shared" si="13"/>
        <v>57779</v>
      </c>
      <c r="AC272" s="280">
        <f>VLOOKUP(A272,'OPEB Amounts_Report'!$A$10:$F$321,6,FALSE)</f>
        <v>43445</v>
      </c>
      <c r="AD272" s="281">
        <f t="shared" si="14"/>
        <v>0</v>
      </c>
    </row>
    <row r="273" spans="1:30">
      <c r="A273" s="62">
        <v>3330</v>
      </c>
      <c r="B273" s="66" t="s">
        <v>260</v>
      </c>
      <c r="C273" s="90">
        <f>VLOOKUP(A273,'Change in Proportion Calc'!$A$5:$P$316,12,FALSE)</f>
        <v>45597</v>
      </c>
      <c r="D273" s="90">
        <f>VLOOKUP(A273,'Change in Proportion Calc'!$A$5:$P$316,13,FALSE)</f>
        <v>45597</v>
      </c>
      <c r="E273" s="90">
        <f>VLOOKUP(A273,'Change in Proportion Calc'!$A$5:$P$316,13,FALSE)</f>
        <v>45597</v>
      </c>
      <c r="F273" s="90">
        <f>VLOOKUP(A273,'Change in Proportion Calc'!$A$5:$P$316,13,FALSE)</f>
        <v>45597</v>
      </c>
      <c r="G273" s="90">
        <f>VLOOKUP(A273,'Change in Proportion Calc'!$A$5:$P$316,16,FALSE)</f>
        <v>44685</v>
      </c>
      <c r="H273" s="255"/>
      <c r="I273" s="280">
        <v>5582</v>
      </c>
      <c r="J273" s="280">
        <v>5582</v>
      </c>
      <c r="K273" s="280">
        <v>5582</v>
      </c>
      <c r="L273" s="280">
        <v>5582</v>
      </c>
      <c r="M273" s="281">
        <v>5468</v>
      </c>
      <c r="N273" s="65"/>
      <c r="O273" s="154">
        <v>29591</v>
      </c>
      <c r="P273" s="154">
        <v>29591</v>
      </c>
      <c r="Q273" s="154">
        <v>29591</v>
      </c>
      <c r="R273" s="155">
        <v>18938</v>
      </c>
      <c r="T273" s="197">
        <v>-26551</v>
      </c>
      <c r="U273" s="197">
        <v>-26551</v>
      </c>
      <c r="V273" s="197">
        <v>-19117</v>
      </c>
      <c r="X273" s="281">
        <f>VLOOKUP(A273,'Change in Proportion Calc'!$A$5:$H$316,8,FALSE)+I273+O273+T273</f>
        <v>54219</v>
      </c>
      <c r="Z273" s="280">
        <f t="shared" si="12"/>
        <v>327407</v>
      </c>
      <c r="AA273" s="280">
        <f t="shared" si="13"/>
        <v>45668</v>
      </c>
      <c r="AC273" s="280">
        <f>VLOOKUP(A273,'OPEB Amounts_Report'!$A$10:$F$321,6,FALSE)</f>
        <v>327407</v>
      </c>
      <c r="AD273" s="281">
        <f t="shared" si="14"/>
        <v>0</v>
      </c>
    </row>
    <row r="274" spans="1:30">
      <c r="A274" s="64">
        <v>2080</v>
      </c>
      <c r="B274" s="65" t="s">
        <v>261</v>
      </c>
      <c r="C274" s="90">
        <f>VLOOKUP(A274,'Change in Proportion Calc'!$A$5:$P$316,12,FALSE)</f>
        <v>-39118</v>
      </c>
      <c r="D274" s="90">
        <f>VLOOKUP(A274,'Change in Proportion Calc'!$A$5:$P$316,13,FALSE)</f>
        <v>-39118</v>
      </c>
      <c r="E274" s="90">
        <f>VLOOKUP(A274,'Change in Proportion Calc'!$A$5:$P$316,13,FALSE)</f>
        <v>-39118</v>
      </c>
      <c r="F274" s="90">
        <f>VLOOKUP(A274,'Change in Proportion Calc'!$A$5:$P$316,13,FALSE)</f>
        <v>-39118</v>
      </c>
      <c r="G274" s="90">
        <f>VLOOKUP(A274,'Change in Proportion Calc'!$A$5:$P$316,16,FALSE)</f>
        <v>-38335</v>
      </c>
      <c r="H274" s="255"/>
      <c r="I274" s="280">
        <v>26104</v>
      </c>
      <c r="J274" s="280">
        <v>26104</v>
      </c>
      <c r="K274" s="280">
        <v>26104</v>
      </c>
      <c r="L274" s="280">
        <v>26104</v>
      </c>
      <c r="M274" s="281">
        <v>25583</v>
      </c>
      <c r="N274" s="65"/>
      <c r="O274" s="154">
        <v>74802</v>
      </c>
      <c r="P274" s="154">
        <v>74802</v>
      </c>
      <c r="Q274" s="154">
        <v>74802</v>
      </c>
      <c r="R274" s="155">
        <v>47873</v>
      </c>
      <c r="T274" s="197">
        <v>21007</v>
      </c>
      <c r="U274" s="197">
        <v>21007</v>
      </c>
      <c r="V274" s="197">
        <v>15127</v>
      </c>
      <c r="X274" s="281">
        <f>VLOOKUP(A274,'Change in Proportion Calc'!$A$5:$H$316,8,FALSE)+I274+O274+T274</f>
        <v>82795</v>
      </c>
      <c r="Z274" s="280">
        <f t="shared" si="12"/>
        <v>337506</v>
      </c>
      <c r="AA274" s="280">
        <f t="shared" si="13"/>
        <v>194807</v>
      </c>
      <c r="AC274" s="280">
        <f>VLOOKUP(A274,'OPEB Amounts_Report'!$A$10:$F$321,6,FALSE)</f>
        <v>337506</v>
      </c>
      <c r="AD274" s="281">
        <f t="shared" si="14"/>
        <v>0</v>
      </c>
    </row>
    <row r="275" spans="1:30">
      <c r="A275" s="62">
        <v>4290</v>
      </c>
      <c r="B275" s="66" t="s">
        <v>262</v>
      </c>
      <c r="C275" s="90">
        <f>VLOOKUP(A275,'Change in Proportion Calc'!$A$5:$P$316,12,FALSE)</f>
        <v>405</v>
      </c>
      <c r="D275" s="90">
        <f>VLOOKUP(A275,'Change in Proportion Calc'!$A$5:$P$316,13,FALSE)</f>
        <v>405</v>
      </c>
      <c r="E275" s="90">
        <f>VLOOKUP(A275,'Change in Proportion Calc'!$A$5:$P$316,13,FALSE)</f>
        <v>405</v>
      </c>
      <c r="F275" s="90">
        <f>VLOOKUP(A275,'Change in Proportion Calc'!$A$5:$P$316,13,FALSE)</f>
        <v>405</v>
      </c>
      <c r="G275" s="90">
        <f>VLOOKUP(A275,'Change in Proportion Calc'!$A$5:$P$316,16,FALSE)</f>
        <v>397</v>
      </c>
      <c r="H275" s="255"/>
      <c r="I275" s="280">
        <v>-2576</v>
      </c>
      <c r="J275" s="280">
        <v>-2576</v>
      </c>
      <c r="K275" s="280">
        <v>-2576</v>
      </c>
      <c r="L275" s="280">
        <v>-2576</v>
      </c>
      <c r="M275" s="281">
        <v>-2525</v>
      </c>
      <c r="N275" s="65"/>
      <c r="O275" s="154">
        <v>36576</v>
      </c>
      <c r="P275" s="154">
        <v>36576</v>
      </c>
      <c r="Q275" s="154">
        <v>36576</v>
      </c>
      <c r="R275" s="155">
        <v>23410</v>
      </c>
      <c r="T275" s="197">
        <v>31317</v>
      </c>
      <c r="U275" s="197">
        <v>31317</v>
      </c>
      <c r="V275" s="197">
        <v>22546</v>
      </c>
      <c r="X275" s="281">
        <f>VLOOKUP(A275,'Change in Proportion Calc'!$A$5:$H$316,8,FALSE)+I275+O275+T275</f>
        <v>65722</v>
      </c>
      <c r="Z275" s="280">
        <f t="shared" si="12"/>
        <v>152442</v>
      </c>
      <c r="AA275" s="280">
        <f t="shared" si="13"/>
        <v>10253</v>
      </c>
      <c r="AC275" s="280">
        <f>VLOOKUP(A275,'OPEB Amounts_Report'!$A$10:$F$321,6,FALSE)</f>
        <v>152442</v>
      </c>
      <c r="AD275" s="281">
        <f t="shared" si="14"/>
        <v>0</v>
      </c>
    </row>
    <row r="276" spans="1:30">
      <c r="A276" s="64">
        <v>2270</v>
      </c>
      <c r="B276" s="65" t="s">
        <v>263</v>
      </c>
      <c r="C276" s="90">
        <f>VLOOKUP(A276,'Change in Proportion Calc'!$A$5:$P$316,12,FALSE)</f>
        <v>-4940</v>
      </c>
      <c r="D276" s="90">
        <f>VLOOKUP(A276,'Change in Proportion Calc'!$A$5:$P$316,13,FALSE)</f>
        <v>-4940</v>
      </c>
      <c r="E276" s="90">
        <f>VLOOKUP(A276,'Change in Proportion Calc'!$A$5:$P$316,13,FALSE)</f>
        <v>-4940</v>
      </c>
      <c r="F276" s="90">
        <f>VLOOKUP(A276,'Change in Proportion Calc'!$A$5:$P$316,13,FALSE)</f>
        <v>-4940</v>
      </c>
      <c r="G276" s="90">
        <f>VLOOKUP(A276,'Change in Proportion Calc'!$A$5:$P$316,16,FALSE)</f>
        <v>-4843</v>
      </c>
      <c r="H276" s="255"/>
      <c r="I276" s="280">
        <v>-5925</v>
      </c>
      <c r="J276" s="280">
        <v>-5925</v>
      </c>
      <c r="K276" s="280">
        <v>-5925</v>
      </c>
      <c r="L276" s="280">
        <v>-5925</v>
      </c>
      <c r="M276" s="281">
        <v>-5806</v>
      </c>
      <c r="N276" s="65"/>
      <c r="O276" s="154">
        <v>1261</v>
      </c>
      <c r="P276" s="154">
        <v>1261</v>
      </c>
      <c r="Q276" s="154">
        <v>1261</v>
      </c>
      <c r="R276" s="155">
        <v>808</v>
      </c>
      <c r="T276" s="197">
        <v>3112</v>
      </c>
      <c r="U276" s="197">
        <v>3112</v>
      </c>
      <c r="V276" s="197">
        <v>2242</v>
      </c>
      <c r="X276" s="281">
        <f>VLOOKUP(A276,'Change in Proportion Calc'!$A$5:$H$316,8,FALSE)+I276+O276+T276</f>
        <v>-6492</v>
      </c>
      <c r="Z276" s="280">
        <f t="shared" si="12"/>
        <v>8684</v>
      </c>
      <c r="AA276" s="280">
        <f t="shared" si="13"/>
        <v>48184</v>
      </c>
      <c r="AC276" s="280">
        <f>VLOOKUP(A276,'OPEB Amounts_Report'!$A$10:$F$321,6,FALSE)</f>
        <v>8684</v>
      </c>
      <c r="AD276" s="281">
        <f t="shared" si="14"/>
        <v>0</v>
      </c>
    </row>
    <row r="277" spans="1:30">
      <c r="A277" s="62">
        <v>2300</v>
      </c>
      <c r="B277" s="66" t="s">
        <v>264</v>
      </c>
      <c r="C277" s="90">
        <f>VLOOKUP(A277,'Change in Proportion Calc'!$A$5:$P$316,12,FALSE)</f>
        <v>-6236</v>
      </c>
      <c r="D277" s="90">
        <f>VLOOKUP(A277,'Change in Proportion Calc'!$A$5:$P$316,13,FALSE)</f>
        <v>-6236</v>
      </c>
      <c r="E277" s="90">
        <f>VLOOKUP(A277,'Change in Proportion Calc'!$A$5:$P$316,13,FALSE)</f>
        <v>-6236</v>
      </c>
      <c r="F277" s="90">
        <f>VLOOKUP(A277,'Change in Proportion Calc'!$A$5:$P$316,13,FALSE)</f>
        <v>-6236</v>
      </c>
      <c r="G277" s="90">
        <f>VLOOKUP(A277,'Change in Proportion Calc'!$A$5:$P$316,16,FALSE)</f>
        <v>-6112</v>
      </c>
      <c r="H277" s="255"/>
      <c r="I277" s="280">
        <v>1889</v>
      </c>
      <c r="J277" s="280">
        <v>1889</v>
      </c>
      <c r="K277" s="280">
        <v>1889</v>
      </c>
      <c r="L277" s="280">
        <v>1889</v>
      </c>
      <c r="M277" s="281">
        <v>1852</v>
      </c>
      <c r="N277" s="65"/>
      <c r="O277" s="154">
        <v>-17464</v>
      </c>
      <c r="P277" s="154">
        <v>-17464</v>
      </c>
      <c r="Q277" s="154">
        <v>-17464</v>
      </c>
      <c r="R277" s="155">
        <v>-11175</v>
      </c>
      <c r="T277" s="197">
        <v>-13519</v>
      </c>
      <c r="U277" s="197">
        <v>-13519</v>
      </c>
      <c r="V277" s="197">
        <v>-9732</v>
      </c>
      <c r="X277" s="281">
        <f>VLOOKUP(A277,'Change in Proportion Calc'!$A$5:$H$316,8,FALSE)+I277+O277+T277</f>
        <v>-35330</v>
      </c>
      <c r="Z277" s="280">
        <f t="shared" si="12"/>
        <v>7519</v>
      </c>
      <c r="AA277" s="280">
        <f t="shared" si="13"/>
        <v>100410</v>
      </c>
      <c r="AC277" s="280">
        <f>VLOOKUP(A277,'OPEB Amounts_Report'!$A$10:$F$321,6,FALSE)</f>
        <v>7519</v>
      </c>
      <c r="AD277" s="281">
        <f t="shared" si="14"/>
        <v>0</v>
      </c>
    </row>
    <row r="278" spans="1:30">
      <c r="A278" s="64">
        <v>2720</v>
      </c>
      <c r="B278" s="65" t="s">
        <v>265</v>
      </c>
      <c r="C278" s="90">
        <f>VLOOKUP(A278,'Change in Proportion Calc'!$A$5:$P$316,12,FALSE)</f>
        <v>17089</v>
      </c>
      <c r="D278" s="90">
        <f>VLOOKUP(A278,'Change in Proportion Calc'!$A$5:$P$316,13,FALSE)</f>
        <v>17089</v>
      </c>
      <c r="E278" s="90">
        <f>VLOOKUP(A278,'Change in Proportion Calc'!$A$5:$P$316,13,FALSE)</f>
        <v>17089</v>
      </c>
      <c r="F278" s="90">
        <f>VLOOKUP(A278,'Change in Proportion Calc'!$A$5:$P$316,13,FALSE)</f>
        <v>17089</v>
      </c>
      <c r="G278" s="90">
        <f>VLOOKUP(A278,'Change in Proportion Calc'!$A$5:$P$316,16,FALSE)</f>
        <v>16746</v>
      </c>
      <c r="H278" s="255"/>
      <c r="I278" s="280">
        <v>-89991</v>
      </c>
      <c r="J278" s="280">
        <v>-89991</v>
      </c>
      <c r="K278" s="280">
        <v>-89991</v>
      </c>
      <c r="L278" s="280">
        <v>-89991</v>
      </c>
      <c r="M278" s="281">
        <v>-88190</v>
      </c>
      <c r="N278" s="65"/>
      <c r="O278" s="154">
        <v>-7956</v>
      </c>
      <c r="P278" s="154">
        <v>-7956</v>
      </c>
      <c r="Q278" s="154">
        <v>-7956</v>
      </c>
      <c r="R278" s="155">
        <v>-5090</v>
      </c>
      <c r="T278" s="197">
        <v>13616</v>
      </c>
      <c r="U278" s="197">
        <v>13616</v>
      </c>
      <c r="V278" s="197">
        <v>9803</v>
      </c>
      <c r="X278" s="281">
        <f>VLOOKUP(A278,'Change in Proportion Calc'!$A$5:$H$316,8,FALSE)+I278+O278+T278</f>
        <v>-67242</v>
      </c>
      <c r="Z278" s="280">
        <f t="shared" si="12"/>
        <v>108521</v>
      </c>
      <c r="AA278" s="280">
        <f t="shared" si="13"/>
        <v>379165</v>
      </c>
      <c r="AC278" s="280">
        <f>VLOOKUP(A278,'OPEB Amounts_Report'!$A$10:$F$321,6,FALSE)</f>
        <v>108521</v>
      </c>
      <c r="AD278" s="281">
        <f t="shared" si="14"/>
        <v>0</v>
      </c>
    </row>
    <row r="279" spans="1:30">
      <c r="A279" s="62">
        <v>2750</v>
      </c>
      <c r="B279" s="66" t="s">
        <v>266</v>
      </c>
      <c r="C279" s="90">
        <f>VLOOKUP(A279,'Change in Proportion Calc'!$A$5:$P$316,12,FALSE)</f>
        <v>-6884</v>
      </c>
      <c r="D279" s="90">
        <f>VLOOKUP(A279,'Change in Proportion Calc'!$A$5:$P$316,13,FALSE)</f>
        <v>-6884</v>
      </c>
      <c r="E279" s="90">
        <f>VLOOKUP(A279,'Change in Proportion Calc'!$A$5:$P$316,13,FALSE)</f>
        <v>-6884</v>
      </c>
      <c r="F279" s="90">
        <f>VLOOKUP(A279,'Change in Proportion Calc'!$A$5:$P$316,13,FALSE)</f>
        <v>-6884</v>
      </c>
      <c r="G279" s="90">
        <f>VLOOKUP(A279,'Change in Proportion Calc'!$A$5:$P$316,16,FALSE)</f>
        <v>-6747</v>
      </c>
      <c r="H279" s="255"/>
      <c r="I279" s="280">
        <v>3692</v>
      </c>
      <c r="J279" s="280">
        <v>3692</v>
      </c>
      <c r="K279" s="280">
        <v>3692</v>
      </c>
      <c r="L279" s="280">
        <v>3692</v>
      </c>
      <c r="M279" s="281">
        <v>3620</v>
      </c>
      <c r="N279" s="65"/>
      <c r="O279" s="154">
        <v>-5530</v>
      </c>
      <c r="P279" s="154">
        <v>-5530</v>
      </c>
      <c r="Q279" s="154">
        <v>-5530</v>
      </c>
      <c r="R279" s="155">
        <v>-3540</v>
      </c>
      <c r="T279" s="197">
        <v>-2042</v>
      </c>
      <c r="U279" s="197">
        <v>-2042</v>
      </c>
      <c r="V279" s="197">
        <v>-1472</v>
      </c>
      <c r="X279" s="281">
        <f>VLOOKUP(A279,'Change in Proportion Calc'!$A$5:$H$316,8,FALSE)+I279+O279+T279</f>
        <v>-10764</v>
      </c>
      <c r="Z279" s="280">
        <f t="shared" si="12"/>
        <v>14696</v>
      </c>
      <c r="AA279" s="280">
        <f t="shared" si="13"/>
        <v>52397</v>
      </c>
      <c r="AC279" s="280">
        <f>VLOOKUP(A279,'OPEB Amounts_Report'!$A$10:$F$321,6,FALSE)</f>
        <v>14696</v>
      </c>
      <c r="AD279" s="281">
        <f t="shared" si="14"/>
        <v>0</v>
      </c>
    </row>
    <row r="280" spans="1:30">
      <c r="A280" s="64">
        <v>2770</v>
      </c>
      <c r="B280" s="65" t="s">
        <v>267</v>
      </c>
      <c r="C280" s="90">
        <f>VLOOKUP(A280,'Change in Proportion Calc'!$A$5:$P$316,12,FALSE)</f>
        <v>-54749</v>
      </c>
      <c r="D280" s="90">
        <f>VLOOKUP(A280,'Change in Proportion Calc'!$A$5:$P$316,13,FALSE)</f>
        <v>-54749</v>
      </c>
      <c r="E280" s="90">
        <f>VLOOKUP(A280,'Change in Proportion Calc'!$A$5:$P$316,13,FALSE)</f>
        <v>-54749</v>
      </c>
      <c r="F280" s="90">
        <f>VLOOKUP(A280,'Change in Proportion Calc'!$A$5:$P$316,13,FALSE)</f>
        <v>-54749</v>
      </c>
      <c r="G280" s="90">
        <f>VLOOKUP(A280,'Change in Proportion Calc'!$A$5:$P$316,16,FALSE)</f>
        <v>-53653</v>
      </c>
      <c r="H280" s="255"/>
      <c r="I280" s="280">
        <v>-109311</v>
      </c>
      <c r="J280" s="280">
        <v>-109311</v>
      </c>
      <c r="K280" s="280">
        <v>-109311</v>
      </c>
      <c r="L280" s="280">
        <v>-109311</v>
      </c>
      <c r="M280" s="281">
        <v>-107127</v>
      </c>
      <c r="N280" s="65"/>
      <c r="O280" s="154">
        <v>-72958</v>
      </c>
      <c r="P280" s="154">
        <v>-72958</v>
      </c>
      <c r="Q280" s="154">
        <v>-72958</v>
      </c>
      <c r="R280" s="155">
        <v>-46695</v>
      </c>
      <c r="T280" s="197">
        <v>36082</v>
      </c>
      <c r="U280" s="197">
        <v>36082</v>
      </c>
      <c r="V280" s="197">
        <v>25980</v>
      </c>
      <c r="X280" s="281">
        <f>VLOOKUP(A280,'Change in Proportion Calc'!$A$5:$H$316,8,FALSE)+I280+O280+T280</f>
        <v>-200936</v>
      </c>
      <c r="Z280" s="280">
        <f t="shared" si="12"/>
        <v>62062</v>
      </c>
      <c r="AA280" s="280">
        <f t="shared" si="13"/>
        <v>900320</v>
      </c>
      <c r="AC280" s="280">
        <f>VLOOKUP(A280,'OPEB Amounts_Report'!$A$10:$F$321,6,FALSE)</f>
        <v>62062</v>
      </c>
      <c r="AD280" s="281">
        <f t="shared" si="14"/>
        <v>0</v>
      </c>
    </row>
    <row r="281" spans="1:30">
      <c r="A281" s="62">
        <v>32106</v>
      </c>
      <c r="B281" s="66" t="s">
        <v>268</v>
      </c>
      <c r="C281" s="90">
        <f>VLOOKUP(A281,'Change in Proportion Calc'!$A$5:$P$316,12,FALSE)</f>
        <v>33611</v>
      </c>
      <c r="D281" s="90">
        <f>VLOOKUP(A281,'Change in Proportion Calc'!$A$5:$P$316,13,FALSE)</f>
        <v>33611</v>
      </c>
      <c r="E281" s="90">
        <f>VLOOKUP(A281,'Change in Proportion Calc'!$A$5:$P$316,13,FALSE)</f>
        <v>33611</v>
      </c>
      <c r="F281" s="90">
        <f>VLOOKUP(A281,'Change in Proportion Calc'!$A$5:$P$316,13,FALSE)</f>
        <v>33611</v>
      </c>
      <c r="G281" s="90">
        <f>VLOOKUP(A281,'Change in Proportion Calc'!$A$5:$P$316,16,FALSE)</f>
        <v>32937</v>
      </c>
      <c r="H281" s="255"/>
      <c r="I281" s="280">
        <v>-20695</v>
      </c>
      <c r="J281" s="280">
        <v>-20695</v>
      </c>
      <c r="K281" s="280">
        <v>-20695</v>
      </c>
      <c r="L281" s="280">
        <v>-20695</v>
      </c>
      <c r="M281" s="281">
        <v>-20279</v>
      </c>
      <c r="N281" s="65"/>
      <c r="O281" s="154">
        <v>30464</v>
      </c>
      <c r="P281" s="154">
        <v>30464</v>
      </c>
      <c r="Q281" s="154">
        <v>30464</v>
      </c>
      <c r="R281" s="155">
        <v>19497</v>
      </c>
      <c r="T281" s="197">
        <v>30539</v>
      </c>
      <c r="U281" s="197">
        <v>30539</v>
      </c>
      <c r="V281" s="197">
        <v>21986</v>
      </c>
      <c r="X281" s="281">
        <f>VLOOKUP(A281,'Change in Proportion Calc'!$A$5:$H$316,8,FALSE)+I281+O281+T281</f>
        <v>73919</v>
      </c>
      <c r="Z281" s="280">
        <f t="shared" si="12"/>
        <v>300331</v>
      </c>
      <c r="AA281" s="280">
        <f t="shared" si="13"/>
        <v>82364</v>
      </c>
      <c r="AC281" s="280">
        <f>VLOOKUP(A281,'OPEB Amounts_Report'!$A$10:$F$321,6,FALSE)</f>
        <v>300331</v>
      </c>
      <c r="AD281" s="281">
        <f t="shared" si="14"/>
        <v>0</v>
      </c>
    </row>
    <row r="282" spans="1:30">
      <c r="A282" s="64">
        <v>4180</v>
      </c>
      <c r="B282" s="65" t="s">
        <v>269</v>
      </c>
      <c r="C282" s="90">
        <f>VLOOKUP(A282,'Change in Proportion Calc'!$A$5:$P$316,12,FALSE)</f>
        <v>16846</v>
      </c>
      <c r="D282" s="90">
        <f>VLOOKUP(A282,'Change in Proportion Calc'!$A$5:$P$316,13,FALSE)</f>
        <v>16846</v>
      </c>
      <c r="E282" s="90">
        <f>VLOOKUP(A282,'Change in Proportion Calc'!$A$5:$P$316,13,FALSE)</f>
        <v>16846</v>
      </c>
      <c r="F282" s="90">
        <f>VLOOKUP(A282,'Change in Proportion Calc'!$A$5:$P$316,13,FALSE)</f>
        <v>16846</v>
      </c>
      <c r="G282" s="90">
        <f>VLOOKUP(A282,'Change in Proportion Calc'!$A$5:$P$316,16,FALSE)</f>
        <v>16508</v>
      </c>
      <c r="H282" s="255"/>
      <c r="I282" s="280">
        <v>-11077</v>
      </c>
      <c r="J282" s="280">
        <v>-11077</v>
      </c>
      <c r="K282" s="280">
        <v>-11077</v>
      </c>
      <c r="L282" s="280">
        <v>-11077</v>
      </c>
      <c r="M282" s="281">
        <v>-10856</v>
      </c>
      <c r="N282" s="65"/>
      <c r="O282" s="154">
        <v>6403</v>
      </c>
      <c r="P282" s="154">
        <v>6403</v>
      </c>
      <c r="Q282" s="154">
        <v>6403</v>
      </c>
      <c r="R282" s="155">
        <v>4099</v>
      </c>
      <c r="T282" s="197">
        <v>-486</v>
      </c>
      <c r="U282" s="197">
        <v>-486</v>
      </c>
      <c r="V282" s="197">
        <v>-352</v>
      </c>
      <c r="X282" s="281">
        <f>VLOOKUP(A282,'Change in Proportion Calc'!$A$5:$H$316,8,FALSE)+I282+O282+T282</f>
        <v>11686</v>
      </c>
      <c r="Z282" s="280">
        <f t="shared" si="12"/>
        <v>100797</v>
      </c>
      <c r="AA282" s="280">
        <f t="shared" si="13"/>
        <v>44925</v>
      </c>
      <c r="AC282" s="280">
        <f>VLOOKUP(A282,'OPEB Amounts_Report'!$A$10:$F$321,6,FALSE)</f>
        <v>100797</v>
      </c>
      <c r="AD282" s="281">
        <f t="shared" si="14"/>
        <v>0</v>
      </c>
    </row>
    <row r="283" spans="1:30">
      <c r="A283" s="62">
        <v>21063</v>
      </c>
      <c r="B283" s="66" t="s">
        <v>270</v>
      </c>
      <c r="C283" s="90">
        <f>VLOOKUP(A283,'Change in Proportion Calc'!$A$5:$P$316,12,FALSE)</f>
        <v>26564</v>
      </c>
      <c r="D283" s="90">
        <f>VLOOKUP(A283,'Change in Proportion Calc'!$A$5:$P$316,13,FALSE)</f>
        <v>26564</v>
      </c>
      <c r="E283" s="90">
        <f>VLOOKUP(A283,'Change in Proportion Calc'!$A$5:$P$316,13,FALSE)</f>
        <v>26564</v>
      </c>
      <c r="F283" s="90">
        <f>VLOOKUP(A283,'Change in Proportion Calc'!$A$5:$P$316,13,FALSE)</f>
        <v>26564</v>
      </c>
      <c r="G283" s="90">
        <f>VLOOKUP(A283,'Change in Proportion Calc'!$A$5:$P$316,16,FALSE)</f>
        <v>26035</v>
      </c>
      <c r="H283" s="255"/>
      <c r="I283" s="280">
        <v>-23786</v>
      </c>
      <c r="J283" s="280">
        <v>-23786</v>
      </c>
      <c r="K283" s="280">
        <v>-23786</v>
      </c>
      <c r="L283" s="280">
        <v>-23786</v>
      </c>
      <c r="M283" s="281">
        <v>-23309</v>
      </c>
      <c r="N283" s="65"/>
      <c r="O283" s="154">
        <v>57630</v>
      </c>
      <c r="P283" s="154">
        <v>57630</v>
      </c>
      <c r="Q283" s="154">
        <v>57630</v>
      </c>
      <c r="R283" s="155">
        <v>36881</v>
      </c>
      <c r="T283" s="197">
        <v>-139757</v>
      </c>
      <c r="U283" s="197">
        <v>-139757</v>
      </c>
      <c r="V283" s="197">
        <v>-100627</v>
      </c>
      <c r="X283" s="281">
        <f>VLOOKUP(A283,'Change in Proportion Calc'!$A$5:$H$316,8,FALSE)+I283+O283+T283</f>
        <v>-79348</v>
      </c>
      <c r="Z283" s="280">
        <f t="shared" si="12"/>
        <v>284432</v>
      </c>
      <c r="AA283" s="280">
        <f t="shared" si="13"/>
        <v>335051</v>
      </c>
      <c r="AC283" s="280">
        <f>VLOOKUP(A283,'OPEB Amounts_Report'!$A$10:$F$321,6,FALSE)</f>
        <v>284432</v>
      </c>
      <c r="AD283" s="281">
        <f t="shared" si="14"/>
        <v>0</v>
      </c>
    </row>
    <row r="284" spans="1:30">
      <c r="A284" s="64">
        <v>10033</v>
      </c>
      <c r="B284" s="65" t="s">
        <v>271</v>
      </c>
      <c r="C284" s="90">
        <f>VLOOKUP(A284,'Change in Proportion Calc'!$A$5:$P$316,12,FALSE)</f>
        <v>26079</v>
      </c>
      <c r="D284" s="90">
        <f>VLOOKUP(A284,'Change in Proportion Calc'!$A$5:$P$316,13,FALSE)</f>
        <v>26079</v>
      </c>
      <c r="E284" s="90">
        <f>VLOOKUP(A284,'Change in Proportion Calc'!$A$5:$P$316,13,FALSE)</f>
        <v>26079</v>
      </c>
      <c r="F284" s="90">
        <f>VLOOKUP(A284,'Change in Proportion Calc'!$A$5:$P$316,13,FALSE)</f>
        <v>26079</v>
      </c>
      <c r="G284" s="90">
        <f>VLOOKUP(A284,'Change in Proportion Calc'!$A$5:$P$316,16,FALSE)</f>
        <v>25555</v>
      </c>
      <c r="H284" s="255"/>
      <c r="I284" s="280">
        <v>-21553</v>
      </c>
      <c r="J284" s="280">
        <v>-21553</v>
      </c>
      <c r="K284" s="280">
        <v>-21553</v>
      </c>
      <c r="L284" s="280">
        <v>-21553</v>
      </c>
      <c r="M284" s="281">
        <v>-21123</v>
      </c>
      <c r="N284" s="65"/>
      <c r="O284" s="154">
        <v>-25807</v>
      </c>
      <c r="P284" s="154">
        <v>-25807</v>
      </c>
      <c r="Q284" s="154">
        <v>-25807</v>
      </c>
      <c r="R284" s="155">
        <v>-16517</v>
      </c>
      <c r="T284" s="197">
        <v>-1264</v>
      </c>
      <c r="U284" s="197">
        <v>-1264</v>
      </c>
      <c r="V284" s="197">
        <v>-912</v>
      </c>
      <c r="X284" s="281">
        <f>VLOOKUP(A284,'Change in Proportion Calc'!$A$5:$H$316,8,FALSE)+I284+O284+T284</f>
        <v>-22545</v>
      </c>
      <c r="Z284" s="280">
        <f t="shared" si="12"/>
        <v>129871</v>
      </c>
      <c r="AA284" s="280">
        <f t="shared" si="13"/>
        <v>156089</v>
      </c>
      <c r="AC284" s="280">
        <f>VLOOKUP(A284,'OPEB Amounts_Report'!$A$10:$F$321,6,FALSE)</f>
        <v>129871</v>
      </c>
      <c r="AD284" s="281">
        <f t="shared" si="14"/>
        <v>0</v>
      </c>
    </row>
    <row r="285" spans="1:30">
      <c r="A285" s="62">
        <v>15049</v>
      </c>
      <c r="B285" s="66" t="s">
        <v>272</v>
      </c>
      <c r="C285" s="90">
        <f>VLOOKUP(A285,'Change in Proportion Calc'!$A$5:$P$316,12,FALSE)</f>
        <v>-1863</v>
      </c>
      <c r="D285" s="90">
        <f>VLOOKUP(A285,'Change in Proportion Calc'!$A$5:$P$316,13,FALSE)</f>
        <v>-1863</v>
      </c>
      <c r="E285" s="90">
        <f>VLOOKUP(A285,'Change in Proportion Calc'!$A$5:$P$316,13,FALSE)</f>
        <v>-1863</v>
      </c>
      <c r="F285" s="90">
        <f>VLOOKUP(A285,'Change in Proportion Calc'!$A$5:$P$316,13,FALSE)</f>
        <v>-1863</v>
      </c>
      <c r="G285" s="90">
        <f>VLOOKUP(A285,'Change in Proportion Calc'!$A$5:$P$316,16,FALSE)</f>
        <v>-1824</v>
      </c>
      <c r="H285" s="255"/>
      <c r="I285" s="280">
        <v>-14855</v>
      </c>
      <c r="J285" s="280">
        <v>-14855</v>
      </c>
      <c r="K285" s="280">
        <v>-14855</v>
      </c>
      <c r="L285" s="280">
        <v>-14855</v>
      </c>
      <c r="M285" s="281">
        <v>-14560</v>
      </c>
      <c r="N285" s="65"/>
      <c r="O285" s="154">
        <v>-5336</v>
      </c>
      <c r="P285" s="154">
        <v>-5336</v>
      </c>
      <c r="Q285" s="154">
        <v>-5336</v>
      </c>
      <c r="R285" s="155">
        <v>-3415</v>
      </c>
      <c r="T285" s="197">
        <v>-49795</v>
      </c>
      <c r="U285" s="197">
        <v>-49795</v>
      </c>
      <c r="V285" s="197">
        <v>-35854</v>
      </c>
      <c r="X285" s="281">
        <f>VLOOKUP(A285,'Change in Proportion Calc'!$A$5:$H$316,8,FALSE)+I285+O285+T285</f>
        <v>-71849</v>
      </c>
      <c r="Z285" s="280">
        <f t="shared" si="12"/>
        <v>0</v>
      </c>
      <c r="AA285" s="280">
        <f t="shared" si="13"/>
        <v>168137</v>
      </c>
      <c r="AC285" s="280">
        <f>VLOOKUP(A285,'OPEB Amounts_Report'!$A$10:$F$321,6,FALSE)</f>
        <v>0</v>
      </c>
      <c r="AD285" s="281">
        <f t="shared" si="14"/>
        <v>0</v>
      </c>
    </row>
    <row r="286" spans="1:30">
      <c r="A286" s="64">
        <v>1315</v>
      </c>
      <c r="B286" s="65" t="s">
        <v>273</v>
      </c>
      <c r="C286" s="90">
        <f>VLOOKUP(A286,'Change in Proportion Calc'!$A$5:$P$316,12,FALSE)</f>
        <v>35554</v>
      </c>
      <c r="D286" s="90">
        <f>VLOOKUP(A286,'Change in Proportion Calc'!$A$5:$P$316,13,FALSE)</f>
        <v>35554</v>
      </c>
      <c r="E286" s="90">
        <f>VLOOKUP(A286,'Change in Proportion Calc'!$A$5:$P$316,13,FALSE)</f>
        <v>35554</v>
      </c>
      <c r="F286" s="90">
        <f>VLOOKUP(A286,'Change in Proportion Calc'!$A$5:$P$316,13,FALSE)</f>
        <v>35554</v>
      </c>
      <c r="G286" s="90">
        <f>VLOOKUP(A286,'Change in Proportion Calc'!$A$5:$P$316,16,FALSE)</f>
        <v>34845</v>
      </c>
      <c r="H286" s="255"/>
      <c r="I286" s="280">
        <v>64831</v>
      </c>
      <c r="J286" s="280">
        <v>64831</v>
      </c>
      <c r="K286" s="280">
        <v>64831</v>
      </c>
      <c r="L286" s="280">
        <v>64831</v>
      </c>
      <c r="M286" s="281">
        <v>63535</v>
      </c>
      <c r="N286" s="65"/>
      <c r="O286" s="154">
        <v>96340</v>
      </c>
      <c r="P286" s="154">
        <v>96340</v>
      </c>
      <c r="Q286" s="154">
        <v>96340</v>
      </c>
      <c r="R286" s="155">
        <v>61659</v>
      </c>
      <c r="T286" s="197">
        <v>27426</v>
      </c>
      <c r="U286" s="197">
        <v>27426</v>
      </c>
      <c r="V286" s="197">
        <v>19749</v>
      </c>
      <c r="X286" s="281">
        <f>VLOOKUP(A286,'Change in Proportion Calc'!$A$5:$H$316,8,FALSE)+I286+O286+T286</f>
        <v>224151</v>
      </c>
      <c r="Z286" s="280">
        <f t="shared" si="12"/>
        <v>736603</v>
      </c>
      <c r="AA286" s="280">
        <f t="shared" si="13"/>
        <v>0</v>
      </c>
      <c r="AC286" s="280">
        <f>VLOOKUP(A286,'OPEB Amounts_Report'!$A$10:$F$321,6,FALSE)</f>
        <v>736603</v>
      </c>
      <c r="AD286" s="281">
        <f t="shared" si="14"/>
        <v>0</v>
      </c>
    </row>
    <row r="287" spans="1:30">
      <c r="A287" s="62">
        <v>3340</v>
      </c>
      <c r="B287" s="66" t="s">
        <v>274</v>
      </c>
      <c r="C287" s="90">
        <f>VLOOKUP(A287,'Change in Proportion Calc'!$A$5:$P$316,12,FALSE)</f>
        <v>19113</v>
      </c>
      <c r="D287" s="90">
        <f>VLOOKUP(A287,'Change in Proportion Calc'!$A$5:$P$316,13,FALSE)</f>
        <v>19113</v>
      </c>
      <c r="E287" s="90">
        <f>VLOOKUP(A287,'Change in Proportion Calc'!$A$5:$P$316,13,FALSE)</f>
        <v>19113</v>
      </c>
      <c r="F287" s="90">
        <f>VLOOKUP(A287,'Change in Proportion Calc'!$A$5:$P$316,13,FALSE)</f>
        <v>19113</v>
      </c>
      <c r="G287" s="90">
        <f>VLOOKUP(A287,'Change in Proportion Calc'!$A$5:$P$316,16,FALSE)</f>
        <v>18733</v>
      </c>
      <c r="H287" s="255"/>
      <c r="I287" s="280">
        <v>-35979</v>
      </c>
      <c r="J287" s="280">
        <v>-35979</v>
      </c>
      <c r="K287" s="280">
        <v>-35979</v>
      </c>
      <c r="L287" s="280">
        <v>-35979</v>
      </c>
      <c r="M287" s="281">
        <v>-35260</v>
      </c>
      <c r="N287" s="65"/>
      <c r="O287" s="154">
        <v>6888</v>
      </c>
      <c r="P287" s="154">
        <v>6888</v>
      </c>
      <c r="Q287" s="154">
        <v>6888</v>
      </c>
      <c r="R287" s="155">
        <v>4410</v>
      </c>
      <c r="T287" s="197">
        <v>-10018</v>
      </c>
      <c r="U287" s="197">
        <v>-10018</v>
      </c>
      <c r="V287" s="197">
        <v>-7211</v>
      </c>
      <c r="X287" s="281">
        <f>VLOOKUP(A287,'Change in Proportion Calc'!$A$5:$H$316,8,FALSE)+I287+O287+T287</f>
        <v>-19995</v>
      </c>
      <c r="Z287" s="280">
        <f t="shared" si="12"/>
        <v>113371</v>
      </c>
      <c r="AA287" s="280">
        <f t="shared" si="13"/>
        <v>160426</v>
      </c>
      <c r="AC287" s="280">
        <f>VLOOKUP(A287,'OPEB Amounts_Report'!$A$10:$F$321,6,FALSE)</f>
        <v>113371</v>
      </c>
      <c r="AD287" s="281">
        <f t="shared" si="14"/>
        <v>0</v>
      </c>
    </row>
    <row r="288" spans="1:30">
      <c r="A288" s="64">
        <v>3350</v>
      </c>
      <c r="B288" s="65" t="s">
        <v>275</v>
      </c>
      <c r="C288" s="90">
        <f>VLOOKUP(A288,'Change in Proportion Calc'!$A$5:$P$316,12,FALSE)</f>
        <v>-293344</v>
      </c>
      <c r="D288" s="90">
        <f>VLOOKUP(A288,'Change in Proportion Calc'!$A$5:$P$316,13,FALSE)</f>
        <v>-293344</v>
      </c>
      <c r="E288" s="90">
        <f>VLOOKUP(A288,'Change in Proportion Calc'!$A$5:$P$316,13,FALSE)</f>
        <v>-293344</v>
      </c>
      <c r="F288" s="90">
        <f>VLOOKUP(A288,'Change in Proportion Calc'!$A$5:$P$316,13,FALSE)</f>
        <v>-293344</v>
      </c>
      <c r="G288" s="90">
        <f>VLOOKUP(A288,'Change in Proportion Calc'!$A$5:$P$316,16,FALSE)</f>
        <v>-287476</v>
      </c>
      <c r="H288" s="255"/>
      <c r="I288" s="280">
        <v>-22755</v>
      </c>
      <c r="J288" s="280">
        <v>-22755</v>
      </c>
      <c r="K288" s="280">
        <v>-22755</v>
      </c>
      <c r="L288" s="280">
        <v>-22755</v>
      </c>
      <c r="M288" s="281">
        <v>-22302</v>
      </c>
      <c r="N288" s="65"/>
      <c r="O288" s="154">
        <v>-224503</v>
      </c>
      <c r="P288" s="154">
        <v>-224503</v>
      </c>
      <c r="Q288" s="154">
        <v>-224503</v>
      </c>
      <c r="R288" s="155">
        <v>-143680</v>
      </c>
      <c r="T288" s="197">
        <v>26746</v>
      </c>
      <c r="U288" s="197">
        <v>26746</v>
      </c>
      <c r="V288" s="197">
        <v>19255</v>
      </c>
      <c r="X288" s="281">
        <f>VLOOKUP(A288,'Change in Proportion Calc'!$A$5:$H$316,8,FALSE)+I288+O288+T288</f>
        <v>-513856</v>
      </c>
      <c r="Z288" s="280">
        <f t="shared" si="12"/>
        <v>46001</v>
      </c>
      <c r="AA288" s="280">
        <f t="shared" si="13"/>
        <v>2144105</v>
      </c>
      <c r="AC288" s="280">
        <f>VLOOKUP(A288,'OPEB Amounts_Report'!$A$10:$F$321,6,FALSE)</f>
        <v>46001</v>
      </c>
      <c r="AD288" s="281">
        <f t="shared" si="14"/>
        <v>0</v>
      </c>
    </row>
    <row r="289" spans="1:30">
      <c r="A289" s="62">
        <v>24073</v>
      </c>
      <c r="B289" s="66" t="s">
        <v>276</v>
      </c>
      <c r="C289" s="90">
        <f>VLOOKUP(A289,'Change in Proportion Calc'!$A$5:$P$316,12,FALSE)</f>
        <v>11339</v>
      </c>
      <c r="D289" s="90">
        <f>VLOOKUP(A289,'Change in Proportion Calc'!$A$5:$P$316,13,FALSE)</f>
        <v>11339</v>
      </c>
      <c r="E289" s="90">
        <f>VLOOKUP(A289,'Change in Proportion Calc'!$A$5:$P$316,13,FALSE)</f>
        <v>11339</v>
      </c>
      <c r="F289" s="90">
        <f>VLOOKUP(A289,'Change in Proportion Calc'!$A$5:$P$316,13,FALSE)</f>
        <v>11339</v>
      </c>
      <c r="G289" s="90">
        <f>VLOOKUP(A289,'Change in Proportion Calc'!$A$5:$P$316,16,FALSE)</f>
        <v>11110</v>
      </c>
      <c r="H289" s="255"/>
      <c r="I289" s="280">
        <v>1374</v>
      </c>
      <c r="J289" s="280">
        <v>1374</v>
      </c>
      <c r="K289" s="280">
        <v>1374</v>
      </c>
      <c r="L289" s="280">
        <v>1374</v>
      </c>
      <c r="M289" s="281">
        <v>1346</v>
      </c>
      <c r="N289" s="65"/>
      <c r="O289" s="154">
        <v>8926</v>
      </c>
      <c r="P289" s="154">
        <v>8926</v>
      </c>
      <c r="Q289" s="154">
        <v>8926</v>
      </c>
      <c r="R289" s="155">
        <v>5711</v>
      </c>
      <c r="T289" s="197">
        <v>-18187</v>
      </c>
      <c r="U289" s="197">
        <v>-18187</v>
      </c>
      <c r="V289" s="197">
        <v>-13094</v>
      </c>
      <c r="X289" s="281">
        <f>VLOOKUP(A289,'Change in Proportion Calc'!$A$5:$H$316,8,FALSE)+I289+O289+T289</f>
        <v>3451</v>
      </c>
      <c r="Z289" s="280">
        <f t="shared" si="12"/>
        <v>85497</v>
      </c>
      <c r="AA289" s="280">
        <f t="shared" si="13"/>
        <v>31281</v>
      </c>
      <c r="AC289" s="280">
        <f>VLOOKUP(A289,'OPEB Amounts_Report'!$A$10:$F$321,6,FALSE)</f>
        <v>85497</v>
      </c>
      <c r="AD289" s="281">
        <f t="shared" si="14"/>
        <v>0</v>
      </c>
    </row>
    <row r="290" spans="1:30">
      <c r="A290" s="127">
        <v>2100</v>
      </c>
      <c r="B290" s="128" t="s">
        <v>277</v>
      </c>
      <c r="C290" s="90">
        <f>VLOOKUP(A290,'Change in Proportion Calc'!$A$5:$P$316,12,FALSE)</f>
        <v>-6398</v>
      </c>
      <c r="D290" s="90">
        <f>VLOOKUP(A290,'Change in Proportion Calc'!$A$5:$P$316,13,FALSE)</f>
        <v>-6398</v>
      </c>
      <c r="E290" s="90">
        <f>VLOOKUP(A290,'Change in Proportion Calc'!$A$5:$P$316,13,FALSE)</f>
        <v>-6398</v>
      </c>
      <c r="F290" s="90">
        <f>VLOOKUP(A290,'Change in Proportion Calc'!$A$5:$P$316,13,FALSE)</f>
        <v>-6398</v>
      </c>
      <c r="G290" s="90">
        <f>VLOOKUP(A290,'Change in Proportion Calc'!$A$5:$P$316,16,FALSE)</f>
        <v>-6271</v>
      </c>
      <c r="H290" s="255"/>
      <c r="I290" s="280">
        <v>7213</v>
      </c>
      <c r="J290" s="280">
        <v>7213</v>
      </c>
      <c r="K290" s="280">
        <v>7213</v>
      </c>
      <c r="L290" s="280">
        <v>7213</v>
      </c>
      <c r="M290" s="281">
        <v>7069</v>
      </c>
      <c r="N290" s="65"/>
      <c r="O290" s="154">
        <v>-12806</v>
      </c>
      <c r="P290" s="154">
        <v>-12806</v>
      </c>
      <c r="Q290" s="154">
        <v>-12806</v>
      </c>
      <c r="R290" s="155">
        <v>-8198</v>
      </c>
      <c r="T290" s="197">
        <v>9823</v>
      </c>
      <c r="U290" s="197">
        <v>9823</v>
      </c>
      <c r="V290" s="197">
        <v>7072</v>
      </c>
      <c r="X290" s="281">
        <f>VLOOKUP(A290,'Change in Proportion Calc'!$A$5:$H$316,8,FALSE)+I290+O290+T290</f>
        <v>-2168</v>
      </c>
      <c r="Z290" s="280">
        <f t="shared" si="12"/>
        <v>45603</v>
      </c>
      <c r="AA290" s="280">
        <f t="shared" si="13"/>
        <v>65673</v>
      </c>
      <c r="AC290" s="280">
        <f>VLOOKUP(A290,'OPEB Amounts_Report'!$A$10:$F$321,6,FALSE)</f>
        <v>45603</v>
      </c>
      <c r="AD290" s="281">
        <f t="shared" si="14"/>
        <v>0</v>
      </c>
    </row>
    <row r="291" spans="1:30">
      <c r="A291" s="62">
        <v>2130</v>
      </c>
      <c r="B291" s="66" t="s">
        <v>278</v>
      </c>
      <c r="C291" s="90">
        <f>VLOOKUP(A291,'Change in Proportion Calc'!$A$5:$P$316,12,FALSE)</f>
        <v>2592</v>
      </c>
      <c r="D291" s="90">
        <f>VLOOKUP(A291,'Change in Proportion Calc'!$A$5:$P$316,13,FALSE)</f>
        <v>2592</v>
      </c>
      <c r="E291" s="90">
        <f>VLOOKUP(A291,'Change in Proportion Calc'!$A$5:$P$316,13,FALSE)</f>
        <v>2592</v>
      </c>
      <c r="F291" s="90">
        <f>VLOOKUP(A291,'Change in Proportion Calc'!$A$5:$P$316,13,FALSE)</f>
        <v>2592</v>
      </c>
      <c r="G291" s="90">
        <f>VLOOKUP(A291,'Change in Proportion Calc'!$A$5:$P$316,16,FALSE)</f>
        <v>2538</v>
      </c>
      <c r="H291" s="255"/>
      <c r="I291" s="280">
        <v>-6526</v>
      </c>
      <c r="J291" s="280">
        <v>-6526</v>
      </c>
      <c r="K291" s="280">
        <v>-6526</v>
      </c>
      <c r="L291" s="280">
        <v>-6526</v>
      </c>
      <c r="M291" s="281">
        <v>-6396</v>
      </c>
      <c r="N291" s="65"/>
      <c r="O291" s="154">
        <v>-12128</v>
      </c>
      <c r="P291" s="154">
        <v>-12128</v>
      </c>
      <c r="Q291" s="154">
        <v>-12128</v>
      </c>
      <c r="R291" s="155">
        <v>-7760</v>
      </c>
      <c r="T291" s="197">
        <v>14783</v>
      </c>
      <c r="U291" s="197">
        <v>14783</v>
      </c>
      <c r="V291" s="197">
        <v>10644</v>
      </c>
      <c r="X291" s="281">
        <f>VLOOKUP(A291,'Change in Proportion Calc'!$A$5:$H$316,8,FALSE)+I291+O291+T291</f>
        <v>-1279</v>
      </c>
      <c r="Z291" s="280">
        <f t="shared" si="12"/>
        <v>38333</v>
      </c>
      <c r="AA291" s="280">
        <f t="shared" si="13"/>
        <v>57990</v>
      </c>
      <c r="AC291" s="280">
        <f>VLOOKUP(A291,'OPEB Amounts_Report'!$A$10:$F$321,6,FALSE)</f>
        <v>38333</v>
      </c>
      <c r="AD291" s="281">
        <f t="shared" si="14"/>
        <v>0</v>
      </c>
    </row>
    <row r="292" spans="1:30">
      <c r="A292" s="64">
        <v>32099</v>
      </c>
      <c r="B292" s="65" t="s">
        <v>279</v>
      </c>
      <c r="C292" s="90">
        <f>VLOOKUP(A292,'Change in Proportion Calc'!$A$5:$P$316,12,FALSE)</f>
        <v>1944</v>
      </c>
      <c r="D292" s="90">
        <f>VLOOKUP(A292,'Change in Proportion Calc'!$A$5:$P$316,13,FALSE)</f>
        <v>1944</v>
      </c>
      <c r="E292" s="90">
        <f>VLOOKUP(A292,'Change in Proportion Calc'!$A$5:$P$316,13,FALSE)</f>
        <v>1944</v>
      </c>
      <c r="F292" s="90">
        <f>VLOOKUP(A292,'Change in Proportion Calc'!$A$5:$P$316,13,FALSE)</f>
        <v>1944</v>
      </c>
      <c r="G292" s="90">
        <f>VLOOKUP(A292,'Change in Proportion Calc'!$A$5:$P$316,16,FALSE)</f>
        <v>1904</v>
      </c>
      <c r="H292" s="255"/>
      <c r="I292" s="280">
        <v>-17775</v>
      </c>
      <c r="J292" s="280">
        <v>-17775</v>
      </c>
      <c r="K292" s="280">
        <v>-17775</v>
      </c>
      <c r="L292" s="280">
        <v>-17775</v>
      </c>
      <c r="M292" s="281">
        <v>-17419</v>
      </c>
      <c r="N292" s="65"/>
      <c r="O292" s="154">
        <v>-2522</v>
      </c>
      <c r="P292" s="154">
        <v>-2522</v>
      </c>
      <c r="Q292" s="154">
        <v>-2522</v>
      </c>
      <c r="R292" s="155">
        <v>-1616</v>
      </c>
      <c r="T292" s="197">
        <v>-5446</v>
      </c>
      <c r="U292" s="197">
        <v>-5446</v>
      </c>
      <c r="V292" s="197">
        <v>-3923</v>
      </c>
      <c r="X292" s="281">
        <f>VLOOKUP(A292,'Change in Proportion Calc'!$A$5:$H$316,8,FALSE)+I292+O292+T292</f>
        <v>-23799</v>
      </c>
      <c r="Z292" s="280">
        <f t="shared" si="12"/>
        <v>9680</v>
      </c>
      <c r="AA292" s="280">
        <f t="shared" si="13"/>
        <v>86773</v>
      </c>
      <c r="AC292" s="280">
        <f>VLOOKUP(A292,'OPEB Amounts_Report'!$A$10:$F$321,6,FALSE)</f>
        <v>9680</v>
      </c>
      <c r="AD292" s="281">
        <f t="shared" si="14"/>
        <v>0</v>
      </c>
    </row>
    <row r="293" spans="1:30">
      <c r="A293" s="62">
        <v>32100</v>
      </c>
      <c r="B293" s="66" t="s">
        <v>280</v>
      </c>
      <c r="C293" s="90">
        <f>VLOOKUP(A293,'Change in Proportion Calc'!$A$5:$P$316,12,FALSE)</f>
        <v>10934</v>
      </c>
      <c r="D293" s="90">
        <f>VLOOKUP(A293,'Change in Proportion Calc'!$A$5:$P$316,13,FALSE)</f>
        <v>10934</v>
      </c>
      <c r="E293" s="90">
        <f>VLOOKUP(A293,'Change in Proportion Calc'!$A$5:$P$316,13,FALSE)</f>
        <v>10934</v>
      </c>
      <c r="F293" s="90">
        <f>VLOOKUP(A293,'Change in Proportion Calc'!$A$5:$P$316,13,FALSE)</f>
        <v>10934</v>
      </c>
      <c r="G293" s="90">
        <f>VLOOKUP(A293,'Change in Proportion Calc'!$A$5:$P$316,16,FALSE)</f>
        <v>10713</v>
      </c>
      <c r="H293" s="255"/>
      <c r="I293" s="280">
        <v>-16143</v>
      </c>
      <c r="J293" s="280">
        <v>-16143</v>
      </c>
      <c r="K293" s="280">
        <v>-16143</v>
      </c>
      <c r="L293" s="280">
        <v>-16143</v>
      </c>
      <c r="M293" s="281">
        <v>-15822</v>
      </c>
      <c r="N293" s="65"/>
      <c r="O293" s="154">
        <v>3008</v>
      </c>
      <c r="P293" s="154">
        <v>3008</v>
      </c>
      <c r="Q293" s="154">
        <v>3008</v>
      </c>
      <c r="R293" s="155">
        <v>1923</v>
      </c>
      <c r="T293" s="197">
        <v>25189</v>
      </c>
      <c r="U293" s="197">
        <v>25189</v>
      </c>
      <c r="V293" s="197">
        <v>18138</v>
      </c>
      <c r="X293" s="281">
        <f>VLOOKUP(A293,'Change in Proportion Calc'!$A$5:$H$316,8,FALSE)+I293+O293+T293</f>
        <v>22988</v>
      </c>
      <c r="Z293" s="280">
        <f t="shared" si="12"/>
        <v>105715</v>
      </c>
      <c r="AA293" s="280">
        <f t="shared" si="13"/>
        <v>64251</v>
      </c>
      <c r="AC293" s="280">
        <f>VLOOKUP(A293,'OPEB Amounts_Report'!$A$10:$F$321,6,FALSE)</f>
        <v>105715</v>
      </c>
      <c r="AD293" s="281">
        <f t="shared" si="14"/>
        <v>0</v>
      </c>
    </row>
    <row r="294" spans="1:30">
      <c r="A294" s="64">
        <v>32101</v>
      </c>
      <c r="B294" s="65" t="s">
        <v>281</v>
      </c>
      <c r="C294" s="90">
        <f>VLOOKUP(A294,'Change in Proportion Calc'!$A$5:$P$316,12,FALSE)</f>
        <v>-45354</v>
      </c>
      <c r="D294" s="90">
        <f>VLOOKUP(A294,'Change in Proportion Calc'!$A$5:$P$316,13,FALSE)</f>
        <v>-45354</v>
      </c>
      <c r="E294" s="90">
        <f>VLOOKUP(A294,'Change in Proportion Calc'!$A$5:$P$316,13,FALSE)</f>
        <v>-45354</v>
      </c>
      <c r="F294" s="90">
        <f>VLOOKUP(A294,'Change in Proportion Calc'!$A$5:$P$316,13,FALSE)</f>
        <v>-45354</v>
      </c>
      <c r="G294" s="90">
        <f>VLOOKUP(A294,'Change in Proportion Calc'!$A$5:$P$316,16,FALSE)</f>
        <v>-44447</v>
      </c>
      <c r="H294" s="255"/>
      <c r="I294" s="280">
        <v>-429</v>
      </c>
      <c r="J294" s="280">
        <v>-429</v>
      </c>
      <c r="K294" s="280">
        <v>-429</v>
      </c>
      <c r="L294" s="280">
        <v>-429</v>
      </c>
      <c r="M294" s="281">
        <v>-422</v>
      </c>
      <c r="N294" s="65"/>
      <c r="O294" s="154">
        <v>5433</v>
      </c>
      <c r="P294" s="154">
        <v>5433</v>
      </c>
      <c r="Q294" s="154">
        <v>5433</v>
      </c>
      <c r="R294" s="155">
        <v>3478</v>
      </c>
      <c r="T294" s="197">
        <v>-6711</v>
      </c>
      <c r="U294" s="197">
        <v>-6711</v>
      </c>
      <c r="V294" s="197">
        <v>-4830</v>
      </c>
      <c r="X294" s="281">
        <f>VLOOKUP(A294,'Change in Proportion Calc'!$A$5:$H$316,8,FALSE)+I294+O294+T294</f>
        <v>-47061</v>
      </c>
      <c r="Z294" s="280">
        <f t="shared" si="12"/>
        <v>14344</v>
      </c>
      <c r="AA294" s="280">
        <f t="shared" si="13"/>
        <v>239113</v>
      </c>
      <c r="AC294" s="280">
        <f>VLOOKUP(A294,'OPEB Amounts_Report'!$A$10:$F$321,6,FALSE)</f>
        <v>14344</v>
      </c>
      <c r="AD294" s="281">
        <f t="shared" si="14"/>
        <v>0</v>
      </c>
    </row>
    <row r="295" spans="1:30">
      <c r="A295" s="62">
        <v>32102</v>
      </c>
      <c r="B295" s="66" t="s">
        <v>282</v>
      </c>
      <c r="C295" s="90">
        <f>VLOOKUP(A295,'Change in Proportion Calc'!$A$5:$P$316,12,FALSE)</f>
        <v>3888</v>
      </c>
      <c r="D295" s="90">
        <f>VLOOKUP(A295,'Change in Proportion Calc'!$A$5:$P$316,13,FALSE)</f>
        <v>3888</v>
      </c>
      <c r="E295" s="90">
        <f>VLOOKUP(A295,'Change in Proportion Calc'!$A$5:$P$316,13,FALSE)</f>
        <v>3888</v>
      </c>
      <c r="F295" s="90">
        <f>VLOOKUP(A295,'Change in Proportion Calc'!$A$5:$P$316,13,FALSE)</f>
        <v>3888</v>
      </c>
      <c r="G295" s="90">
        <f>VLOOKUP(A295,'Change in Proportion Calc'!$A$5:$P$316,16,FALSE)</f>
        <v>3808</v>
      </c>
      <c r="H295" s="255"/>
      <c r="I295" s="280">
        <v>-3349</v>
      </c>
      <c r="J295" s="280">
        <v>-3349</v>
      </c>
      <c r="K295" s="280">
        <v>-3349</v>
      </c>
      <c r="L295" s="280">
        <v>-3349</v>
      </c>
      <c r="M295" s="281">
        <v>-3281</v>
      </c>
      <c r="N295" s="65"/>
      <c r="O295" s="154">
        <v>7761</v>
      </c>
      <c r="P295" s="154">
        <v>7761</v>
      </c>
      <c r="Q295" s="154">
        <v>7761</v>
      </c>
      <c r="R295" s="155">
        <v>4969</v>
      </c>
      <c r="T295" s="197">
        <v>-14783</v>
      </c>
      <c r="U295" s="197">
        <v>-14783</v>
      </c>
      <c r="V295" s="197">
        <v>-10644</v>
      </c>
      <c r="X295" s="281">
        <f>VLOOKUP(A295,'Change in Proportion Calc'!$A$5:$H$316,8,FALSE)+I295+O295+T295</f>
        <v>-6484</v>
      </c>
      <c r="Z295" s="280">
        <f t="shared" si="12"/>
        <v>39851</v>
      </c>
      <c r="AA295" s="280">
        <f t="shared" si="13"/>
        <v>38755</v>
      </c>
      <c r="AC295" s="280">
        <f>VLOOKUP(A295,'OPEB Amounts_Report'!$A$10:$F$321,6,FALSE)</f>
        <v>39851</v>
      </c>
      <c r="AD295" s="281">
        <f t="shared" si="14"/>
        <v>0</v>
      </c>
    </row>
    <row r="296" spans="1:30">
      <c r="A296" s="64">
        <v>2880</v>
      </c>
      <c r="B296" s="65" t="s">
        <v>283</v>
      </c>
      <c r="C296" s="90">
        <f>VLOOKUP(A296,'Change in Proportion Calc'!$A$5:$P$316,12,FALSE)</f>
        <v>5426</v>
      </c>
      <c r="D296" s="90">
        <f>VLOOKUP(A296,'Change in Proportion Calc'!$A$5:$P$316,13,FALSE)</f>
        <v>5426</v>
      </c>
      <c r="E296" s="90">
        <f>VLOOKUP(A296,'Change in Proportion Calc'!$A$5:$P$316,13,FALSE)</f>
        <v>5426</v>
      </c>
      <c r="F296" s="90">
        <f>VLOOKUP(A296,'Change in Proportion Calc'!$A$5:$P$316,13,FALSE)</f>
        <v>5426</v>
      </c>
      <c r="G296" s="90">
        <f>VLOOKUP(A296,'Change in Proportion Calc'!$A$5:$P$316,16,FALSE)</f>
        <v>5319</v>
      </c>
      <c r="H296" s="255"/>
      <c r="I296" s="280">
        <v>-172</v>
      </c>
      <c r="J296" s="280">
        <v>-172</v>
      </c>
      <c r="K296" s="280">
        <v>-172</v>
      </c>
      <c r="L296" s="280">
        <v>-172</v>
      </c>
      <c r="M296" s="281">
        <v>-167</v>
      </c>
      <c r="N296" s="65"/>
      <c r="O296" s="154">
        <v>-5045</v>
      </c>
      <c r="P296" s="154">
        <v>-5045</v>
      </c>
      <c r="Q296" s="154">
        <v>-5045</v>
      </c>
      <c r="R296" s="155">
        <v>-3229</v>
      </c>
      <c r="T296" s="197">
        <v>5349</v>
      </c>
      <c r="U296" s="197">
        <v>5349</v>
      </c>
      <c r="V296" s="197">
        <v>3852</v>
      </c>
      <c r="X296" s="281">
        <f>VLOOKUP(A296,'Change in Proportion Calc'!$A$5:$H$316,8,FALSE)+I296+O296+T296</f>
        <v>5558</v>
      </c>
      <c r="Z296" s="280">
        <f t="shared" si="12"/>
        <v>36224</v>
      </c>
      <c r="AA296" s="280">
        <f t="shared" si="13"/>
        <v>14002</v>
      </c>
      <c r="AC296" s="280">
        <f>VLOOKUP(A296,'OPEB Amounts_Report'!$A$10:$F$321,6,FALSE)</f>
        <v>36224</v>
      </c>
      <c r="AD296" s="281">
        <f t="shared" si="14"/>
        <v>0</v>
      </c>
    </row>
    <row r="297" spans="1:30">
      <c r="A297" s="62">
        <v>2490</v>
      </c>
      <c r="B297" s="66" t="s">
        <v>284</v>
      </c>
      <c r="C297" s="90">
        <f>VLOOKUP(A297,'Change in Proportion Calc'!$A$5:$P$316,12,FALSE)</f>
        <v>2754</v>
      </c>
      <c r="D297" s="90">
        <f>VLOOKUP(A297,'Change in Proportion Calc'!$A$5:$P$316,13,FALSE)</f>
        <v>2754</v>
      </c>
      <c r="E297" s="90">
        <f>VLOOKUP(A297,'Change in Proportion Calc'!$A$5:$P$316,13,FALSE)</f>
        <v>2754</v>
      </c>
      <c r="F297" s="90">
        <f>VLOOKUP(A297,'Change in Proportion Calc'!$A$5:$P$316,13,FALSE)</f>
        <v>2754</v>
      </c>
      <c r="G297" s="90">
        <f>VLOOKUP(A297,'Change in Proportion Calc'!$A$5:$P$316,16,FALSE)</f>
        <v>2697</v>
      </c>
      <c r="H297" s="255"/>
      <c r="I297" s="280">
        <v>-39070</v>
      </c>
      <c r="J297" s="280">
        <v>-39070</v>
      </c>
      <c r="K297" s="280">
        <v>-39070</v>
      </c>
      <c r="L297" s="280">
        <v>-39070</v>
      </c>
      <c r="M297" s="281">
        <v>-38291</v>
      </c>
      <c r="N297" s="65"/>
      <c r="O297" s="154">
        <v>15814</v>
      </c>
      <c r="P297" s="154">
        <v>15814</v>
      </c>
      <c r="Q297" s="154">
        <v>15814</v>
      </c>
      <c r="R297" s="155">
        <v>10122</v>
      </c>
      <c r="T297" s="197">
        <v>3793</v>
      </c>
      <c r="U297" s="197">
        <v>3793</v>
      </c>
      <c r="V297" s="197">
        <v>2731</v>
      </c>
      <c r="X297" s="281">
        <f>VLOOKUP(A297,'Change in Proportion Calc'!$A$5:$H$316,8,FALSE)+I297+O297+T297</f>
        <v>-16709</v>
      </c>
      <c r="Z297" s="280">
        <f t="shared" si="12"/>
        <v>61987</v>
      </c>
      <c r="AA297" s="280">
        <f t="shared" si="13"/>
        <v>155501</v>
      </c>
      <c r="AC297" s="280">
        <f>VLOOKUP(A297,'OPEB Amounts_Report'!$A$10:$F$321,6,FALSE)</f>
        <v>61987</v>
      </c>
      <c r="AD297" s="281">
        <f t="shared" si="14"/>
        <v>0</v>
      </c>
    </row>
    <row r="298" spans="1:30">
      <c r="A298" s="64">
        <v>2530</v>
      </c>
      <c r="B298" s="65" t="s">
        <v>285</v>
      </c>
      <c r="C298" s="90">
        <f>VLOOKUP(A298,'Change in Proportion Calc'!$A$5:$P$316,12,FALSE)</f>
        <v>-33125</v>
      </c>
      <c r="D298" s="90">
        <f>VLOOKUP(A298,'Change in Proportion Calc'!$A$5:$P$316,13,FALSE)</f>
        <v>-33125</v>
      </c>
      <c r="E298" s="90">
        <f>VLOOKUP(A298,'Change in Proportion Calc'!$A$5:$P$316,13,FALSE)</f>
        <v>-33125</v>
      </c>
      <c r="F298" s="90">
        <f>VLOOKUP(A298,'Change in Proportion Calc'!$A$5:$P$316,13,FALSE)</f>
        <v>-33125</v>
      </c>
      <c r="G298" s="90">
        <f>VLOOKUP(A298,'Change in Proportion Calc'!$A$5:$P$316,16,FALSE)</f>
        <v>-32461</v>
      </c>
      <c r="H298" s="255"/>
      <c r="I298" s="280">
        <v>-6784</v>
      </c>
      <c r="J298" s="280">
        <v>-6784</v>
      </c>
      <c r="K298" s="280">
        <v>-6784</v>
      </c>
      <c r="L298" s="280">
        <v>-6784</v>
      </c>
      <c r="M298" s="281">
        <v>-6646</v>
      </c>
      <c r="N298" s="65"/>
      <c r="O298" s="154">
        <v>13292</v>
      </c>
      <c r="P298" s="154">
        <v>13292</v>
      </c>
      <c r="Q298" s="154">
        <v>13292</v>
      </c>
      <c r="R298" s="155">
        <v>8505</v>
      </c>
      <c r="T298" s="197">
        <v>-2821</v>
      </c>
      <c r="U298" s="197">
        <v>-2821</v>
      </c>
      <c r="V298" s="197">
        <v>-2029</v>
      </c>
      <c r="X298" s="281">
        <f>VLOOKUP(A298,'Change in Proportion Calc'!$A$5:$H$316,8,FALSE)+I298+O298+T298</f>
        <v>-29438</v>
      </c>
      <c r="Z298" s="280">
        <f t="shared" si="12"/>
        <v>35089</v>
      </c>
      <c r="AA298" s="280">
        <f t="shared" si="13"/>
        <v>196809</v>
      </c>
      <c r="AC298" s="280">
        <f>VLOOKUP(A298,'OPEB Amounts_Report'!$A$10:$F$321,6,FALSE)</f>
        <v>35089</v>
      </c>
      <c r="AD298" s="281">
        <f t="shared" si="14"/>
        <v>0</v>
      </c>
    </row>
    <row r="299" spans="1:30">
      <c r="A299" s="62">
        <v>2560</v>
      </c>
      <c r="B299" s="66" t="s">
        <v>286</v>
      </c>
      <c r="C299" s="90">
        <f>VLOOKUP(A299,'Change in Proportion Calc'!$A$5:$P$316,12,FALSE)</f>
        <v>-17899</v>
      </c>
      <c r="D299" s="90">
        <f>VLOOKUP(A299,'Change in Proportion Calc'!$A$5:$P$316,13,FALSE)</f>
        <v>-17899</v>
      </c>
      <c r="E299" s="90">
        <f>VLOOKUP(A299,'Change in Proportion Calc'!$A$5:$P$316,13,FALSE)</f>
        <v>-17899</v>
      </c>
      <c r="F299" s="90">
        <f>VLOOKUP(A299,'Change in Proportion Calc'!$A$5:$P$316,13,FALSE)</f>
        <v>-17899</v>
      </c>
      <c r="G299" s="90">
        <f>VLOOKUP(A299,'Change in Proportion Calc'!$A$5:$P$316,16,FALSE)</f>
        <v>-17539</v>
      </c>
      <c r="H299" s="255"/>
      <c r="I299" s="280">
        <v>-7642</v>
      </c>
      <c r="J299" s="280">
        <v>-7642</v>
      </c>
      <c r="K299" s="280">
        <v>-7642</v>
      </c>
      <c r="L299" s="280">
        <v>-7642</v>
      </c>
      <c r="M299" s="281">
        <v>-7491</v>
      </c>
      <c r="N299" s="65"/>
      <c r="O299" s="154">
        <v>15135</v>
      </c>
      <c r="P299" s="154">
        <v>15135</v>
      </c>
      <c r="Q299" s="154">
        <v>15135</v>
      </c>
      <c r="R299" s="155">
        <v>9686</v>
      </c>
      <c r="T299" s="197">
        <v>-12643</v>
      </c>
      <c r="U299" s="197">
        <v>-12643</v>
      </c>
      <c r="V299" s="197">
        <v>-9105</v>
      </c>
      <c r="X299" s="281">
        <f>VLOOKUP(A299,'Change in Proportion Calc'!$A$5:$H$316,8,FALSE)+I299+O299+T299</f>
        <v>-23049</v>
      </c>
      <c r="Z299" s="280">
        <f t="shared" si="12"/>
        <v>39956</v>
      </c>
      <c r="AA299" s="280">
        <f t="shared" si="13"/>
        <v>141300</v>
      </c>
      <c r="AC299" s="280">
        <f>VLOOKUP(A299,'OPEB Amounts_Report'!$A$10:$F$321,6,FALSE)</f>
        <v>39956</v>
      </c>
      <c r="AD299" s="281">
        <f t="shared" si="14"/>
        <v>0</v>
      </c>
    </row>
    <row r="300" spans="1:30">
      <c r="A300" s="64">
        <v>2610</v>
      </c>
      <c r="B300" s="65" t="s">
        <v>287</v>
      </c>
      <c r="C300" s="90">
        <f>VLOOKUP(A300,'Change in Proportion Calc'!$A$5:$P$316,12,FALSE)</f>
        <v>810</v>
      </c>
      <c r="D300" s="90">
        <f>VLOOKUP(A300,'Change in Proportion Calc'!$A$5:$P$316,13,FALSE)</f>
        <v>810</v>
      </c>
      <c r="E300" s="90">
        <f>VLOOKUP(A300,'Change in Proportion Calc'!$A$5:$P$316,13,FALSE)</f>
        <v>810</v>
      </c>
      <c r="F300" s="90">
        <f>VLOOKUP(A300,'Change in Proportion Calc'!$A$5:$P$316,13,FALSE)</f>
        <v>810</v>
      </c>
      <c r="G300" s="90">
        <f>VLOOKUP(A300,'Change in Proportion Calc'!$A$5:$P$316,16,FALSE)</f>
        <v>793</v>
      </c>
      <c r="H300" s="255"/>
      <c r="I300" s="280">
        <v>-3520</v>
      </c>
      <c r="J300" s="280">
        <v>-3520</v>
      </c>
      <c r="K300" s="280">
        <v>-3520</v>
      </c>
      <c r="L300" s="280">
        <v>-3520</v>
      </c>
      <c r="M300" s="281">
        <v>-3452</v>
      </c>
      <c r="N300" s="65"/>
      <c r="O300" s="154">
        <v>2328</v>
      </c>
      <c r="P300" s="154">
        <v>2328</v>
      </c>
      <c r="Q300" s="154">
        <v>2328</v>
      </c>
      <c r="R300" s="155">
        <v>1492</v>
      </c>
      <c r="T300" s="197">
        <v>2042</v>
      </c>
      <c r="U300" s="197">
        <v>2042</v>
      </c>
      <c r="V300" s="197">
        <v>1472</v>
      </c>
      <c r="X300" s="281">
        <f>VLOOKUP(A300,'Change in Proportion Calc'!$A$5:$H$316,8,FALSE)+I300+O300+T300</f>
        <v>1660</v>
      </c>
      <c r="Z300" s="280">
        <f t="shared" si="12"/>
        <v>13695</v>
      </c>
      <c r="AA300" s="280">
        <f t="shared" si="13"/>
        <v>14012</v>
      </c>
      <c r="AC300" s="280">
        <f>VLOOKUP(A300,'OPEB Amounts_Report'!$A$10:$F$321,6,FALSE)</f>
        <v>13695</v>
      </c>
      <c r="AD300" s="281">
        <f t="shared" si="14"/>
        <v>0</v>
      </c>
    </row>
    <row r="301" spans="1:30">
      <c r="A301" s="62">
        <v>2800</v>
      </c>
      <c r="B301" s="66" t="s">
        <v>288</v>
      </c>
      <c r="C301" s="90">
        <f>VLOOKUP(A301,'Change in Proportion Calc'!$A$5:$P$316,12,FALSE)</f>
        <v>3240</v>
      </c>
      <c r="D301" s="90">
        <f>VLOOKUP(A301,'Change in Proportion Calc'!$A$5:$P$316,13,FALSE)</f>
        <v>3240</v>
      </c>
      <c r="E301" s="90">
        <f>VLOOKUP(A301,'Change in Proportion Calc'!$A$5:$P$316,13,FALSE)</f>
        <v>3240</v>
      </c>
      <c r="F301" s="90">
        <f>VLOOKUP(A301,'Change in Proportion Calc'!$A$5:$P$316,13,FALSE)</f>
        <v>3240</v>
      </c>
      <c r="G301" s="90">
        <f>VLOOKUP(A301,'Change in Proportion Calc'!$A$5:$P$316,16,FALSE)</f>
        <v>3173</v>
      </c>
      <c r="H301" s="255"/>
      <c r="I301" s="280">
        <v>15199</v>
      </c>
      <c r="J301" s="280">
        <v>15199</v>
      </c>
      <c r="K301" s="280">
        <v>15199</v>
      </c>
      <c r="L301" s="280">
        <v>15199</v>
      </c>
      <c r="M301" s="281">
        <v>14894</v>
      </c>
      <c r="N301" s="65"/>
      <c r="O301" s="154">
        <v>-2717</v>
      </c>
      <c r="P301" s="154">
        <v>-2717</v>
      </c>
      <c r="Q301" s="154">
        <v>-2717</v>
      </c>
      <c r="R301" s="155">
        <v>-1737</v>
      </c>
      <c r="T301" s="197">
        <v>14297</v>
      </c>
      <c r="U301" s="197">
        <v>14297</v>
      </c>
      <c r="V301" s="197">
        <v>10292</v>
      </c>
      <c r="X301" s="281">
        <f>VLOOKUP(A301,'Change in Proportion Calc'!$A$5:$H$316,8,FALSE)+I301+O301+T301</f>
        <v>30019</v>
      </c>
      <c r="Z301" s="280">
        <f t="shared" si="12"/>
        <v>101213</v>
      </c>
      <c r="AA301" s="280">
        <f t="shared" si="13"/>
        <v>7171</v>
      </c>
      <c r="AC301" s="280">
        <f>VLOOKUP(A301,'OPEB Amounts_Report'!$A$10:$F$321,6,FALSE)</f>
        <v>101213</v>
      </c>
      <c r="AD301" s="281">
        <f t="shared" si="14"/>
        <v>0</v>
      </c>
    </row>
    <row r="302" spans="1:30">
      <c r="A302" s="64">
        <v>20317</v>
      </c>
      <c r="B302" s="65" t="s">
        <v>289</v>
      </c>
      <c r="C302" s="90">
        <f>VLOOKUP(A302,'Change in Proportion Calc'!$A$5:$P$316,12,FALSE)</f>
        <v>-30047</v>
      </c>
      <c r="D302" s="90">
        <f>VLOOKUP(A302,'Change in Proportion Calc'!$A$5:$P$316,13,FALSE)</f>
        <v>-30047</v>
      </c>
      <c r="E302" s="90">
        <f>VLOOKUP(A302,'Change in Proportion Calc'!$A$5:$P$316,13,FALSE)</f>
        <v>-30047</v>
      </c>
      <c r="F302" s="90">
        <f>VLOOKUP(A302,'Change in Proportion Calc'!$A$5:$P$316,13,FALSE)</f>
        <v>-30047</v>
      </c>
      <c r="G302" s="90">
        <f>VLOOKUP(A302,'Change in Proportion Calc'!$A$5:$P$316,16,FALSE)</f>
        <v>-29447</v>
      </c>
      <c r="H302" s="255"/>
      <c r="I302" s="280">
        <v>25332</v>
      </c>
      <c r="J302" s="280">
        <v>25332</v>
      </c>
      <c r="K302" s="280">
        <v>25332</v>
      </c>
      <c r="L302" s="280">
        <v>25332</v>
      </c>
      <c r="M302" s="281">
        <v>24823</v>
      </c>
      <c r="N302" s="65"/>
      <c r="O302" s="154">
        <v>3881</v>
      </c>
      <c r="P302" s="154">
        <v>3881</v>
      </c>
      <c r="Q302" s="154">
        <v>3881</v>
      </c>
      <c r="R302" s="155">
        <v>2483</v>
      </c>
      <c r="T302" s="197">
        <v>-2140</v>
      </c>
      <c r="U302" s="197">
        <v>-2140</v>
      </c>
      <c r="V302" s="197">
        <v>-1539</v>
      </c>
      <c r="X302" s="281">
        <f>VLOOKUP(A302,'Change in Proportion Calc'!$A$5:$H$316,8,FALSE)+I302+O302+T302</f>
        <v>-2974</v>
      </c>
      <c r="Z302" s="280">
        <f t="shared" si="12"/>
        <v>111064</v>
      </c>
      <c r="AA302" s="280">
        <f t="shared" si="13"/>
        <v>153314</v>
      </c>
      <c r="AC302" s="280">
        <f>VLOOKUP(A302,'OPEB Amounts_Report'!$A$10:$F$321,6,FALSE)</f>
        <v>111064</v>
      </c>
      <c r="AD302" s="281">
        <f t="shared" si="14"/>
        <v>0</v>
      </c>
    </row>
    <row r="303" spans="1:30">
      <c r="A303" s="62">
        <v>30090</v>
      </c>
      <c r="B303" s="66" t="s">
        <v>290</v>
      </c>
      <c r="C303" s="90">
        <f>VLOOKUP(A303,'Change in Proportion Calc'!$A$5:$P$316,12,FALSE)</f>
        <v>31100</v>
      </c>
      <c r="D303" s="90">
        <f>VLOOKUP(A303,'Change in Proportion Calc'!$A$5:$P$316,13,FALSE)</f>
        <v>31100</v>
      </c>
      <c r="E303" s="90">
        <f>VLOOKUP(A303,'Change in Proportion Calc'!$A$5:$P$316,13,FALSE)</f>
        <v>31100</v>
      </c>
      <c r="F303" s="90">
        <f>VLOOKUP(A303,'Change in Proportion Calc'!$A$5:$P$316,13,FALSE)</f>
        <v>31100</v>
      </c>
      <c r="G303" s="90">
        <f>VLOOKUP(A303,'Change in Proportion Calc'!$A$5:$P$316,16,FALSE)</f>
        <v>30478</v>
      </c>
      <c r="H303" s="255"/>
      <c r="I303" s="280">
        <v>16830</v>
      </c>
      <c r="J303" s="280">
        <v>16830</v>
      </c>
      <c r="K303" s="280">
        <v>16830</v>
      </c>
      <c r="L303" s="280">
        <v>16830</v>
      </c>
      <c r="M303" s="281">
        <v>16495</v>
      </c>
      <c r="N303" s="65"/>
      <c r="O303" s="154">
        <v>-25031</v>
      </c>
      <c r="P303" s="154">
        <v>-25031</v>
      </c>
      <c r="Q303" s="154">
        <v>-25031</v>
      </c>
      <c r="R303" s="155">
        <v>-16020</v>
      </c>
      <c r="T303" s="197">
        <v>1167</v>
      </c>
      <c r="U303" s="197">
        <v>1167</v>
      </c>
      <c r="V303" s="197">
        <v>841</v>
      </c>
      <c r="X303" s="281">
        <f>VLOOKUP(A303,'Change in Proportion Calc'!$A$5:$H$316,8,FALSE)+I303+O303+T303</f>
        <v>24066</v>
      </c>
      <c r="Z303" s="280">
        <f t="shared" si="12"/>
        <v>223871</v>
      </c>
      <c r="AA303" s="280">
        <f t="shared" si="13"/>
        <v>66082</v>
      </c>
      <c r="AC303" s="280">
        <f>VLOOKUP(A303,'OPEB Amounts_Report'!$A$10:$F$321,6,FALSE)</f>
        <v>223871</v>
      </c>
      <c r="AD303" s="281">
        <f t="shared" si="14"/>
        <v>0</v>
      </c>
    </row>
    <row r="304" spans="1:30">
      <c r="A304" s="64">
        <v>29330</v>
      </c>
      <c r="B304" s="65" t="s">
        <v>291</v>
      </c>
      <c r="C304" s="90">
        <f>VLOOKUP(A304,'Change in Proportion Calc'!$A$5:$P$316,12,FALSE)</f>
        <v>-9800</v>
      </c>
      <c r="D304" s="90">
        <f>VLOOKUP(A304,'Change in Proportion Calc'!$A$5:$P$316,13,FALSE)</f>
        <v>-9800</v>
      </c>
      <c r="E304" s="90">
        <f>VLOOKUP(A304,'Change in Proportion Calc'!$A$5:$P$316,13,FALSE)</f>
        <v>-9800</v>
      </c>
      <c r="F304" s="90">
        <f>VLOOKUP(A304,'Change in Proportion Calc'!$A$5:$P$316,13,FALSE)</f>
        <v>-9800</v>
      </c>
      <c r="G304" s="90">
        <f>VLOOKUP(A304,'Change in Proportion Calc'!$A$5:$P$316,16,FALSE)</f>
        <v>-9602</v>
      </c>
      <c r="H304" s="255"/>
      <c r="I304" s="280">
        <v>-1632</v>
      </c>
      <c r="J304" s="280">
        <v>-1632</v>
      </c>
      <c r="K304" s="280">
        <v>-1632</v>
      </c>
      <c r="L304" s="280">
        <v>-1632</v>
      </c>
      <c r="M304" s="281">
        <v>-1597</v>
      </c>
      <c r="N304" s="65"/>
      <c r="O304" s="154">
        <v>5239</v>
      </c>
      <c r="P304" s="154">
        <v>5239</v>
      </c>
      <c r="Q304" s="154">
        <v>5239</v>
      </c>
      <c r="R304" s="155">
        <v>3353</v>
      </c>
      <c r="T304" s="197">
        <v>8947</v>
      </c>
      <c r="U304" s="197">
        <v>8947</v>
      </c>
      <c r="V304" s="197">
        <v>6444</v>
      </c>
      <c r="X304" s="281">
        <f>VLOOKUP(A304,'Change in Proportion Calc'!$A$5:$H$316,8,FALSE)+I304+O304+T304</f>
        <v>2754</v>
      </c>
      <c r="Z304" s="280">
        <f t="shared" si="12"/>
        <v>29222</v>
      </c>
      <c r="AA304" s="280">
        <f t="shared" si="13"/>
        <v>55295</v>
      </c>
      <c r="AC304" s="280">
        <f>VLOOKUP(A304,'OPEB Amounts_Report'!$A$10:$F$321,6,FALSE)</f>
        <v>29222</v>
      </c>
      <c r="AD304" s="281">
        <f t="shared" si="14"/>
        <v>0</v>
      </c>
    </row>
    <row r="305" spans="1:30">
      <c r="A305" s="62">
        <v>12038</v>
      </c>
      <c r="B305" s="66" t="s">
        <v>292</v>
      </c>
      <c r="C305" s="90">
        <f>VLOOKUP(A305,'Change in Proportion Calc'!$A$5:$P$316,12,FALSE)</f>
        <v>130150</v>
      </c>
      <c r="D305" s="90">
        <f>VLOOKUP(A305,'Change in Proportion Calc'!$A$5:$P$316,13,FALSE)</f>
        <v>130150</v>
      </c>
      <c r="E305" s="90">
        <f>VLOOKUP(A305,'Change in Proportion Calc'!$A$5:$P$316,13,FALSE)</f>
        <v>130150</v>
      </c>
      <c r="F305" s="90">
        <f>VLOOKUP(A305,'Change in Proportion Calc'!$A$5:$P$316,13,FALSE)</f>
        <v>130150</v>
      </c>
      <c r="G305" s="90">
        <f>VLOOKUP(A305,'Change in Proportion Calc'!$A$5:$P$316,16,FALSE)</f>
        <v>127547</v>
      </c>
      <c r="H305" s="255"/>
      <c r="I305" s="280">
        <v>97547</v>
      </c>
      <c r="J305" s="280">
        <v>97547</v>
      </c>
      <c r="K305" s="280">
        <v>97547</v>
      </c>
      <c r="L305" s="280">
        <v>97547</v>
      </c>
      <c r="M305" s="281">
        <v>95598</v>
      </c>
      <c r="N305" s="65"/>
      <c r="O305" s="154">
        <v>52002</v>
      </c>
      <c r="P305" s="154">
        <v>52002</v>
      </c>
      <c r="Q305" s="154">
        <v>52002</v>
      </c>
      <c r="R305" s="155">
        <v>33283</v>
      </c>
      <c r="T305" s="197">
        <v>34623</v>
      </c>
      <c r="U305" s="197">
        <v>34623</v>
      </c>
      <c r="V305" s="197">
        <v>24930</v>
      </c>
      <c r="X305" s="281">
        <f>VLOOKUP(A305,'Change in Proportion Calc'!$A$5:$H$316,8,FALSE)+I305+O305+T305</f>
        <v>314322</v>
      </c>
      <c r="Z305" s="280">
        <f t="shared" si="12"/>
        <v>1233226</v>
      </c>
      <c r="AA305" s="280">
        <f t="shared" si="13"/>
        <v>0</v>
      </c>
      <c r="AC305" s="280">
        <f>VLOOKUP(A305,'OPEB Amounts_Report'!$A$10:$F$321,6,FALSE)</f>
        <v>1233226</v>
      </c>
      <c r="AD305" s="281">
        <f t="shared" si="14"/>
        <v>0</v>
      </c>
    </row>
    <row r="306" spans="1:30">
      <c r="A306" s="64">
        <v>8099</v>
      </c>
      <c r="B306" s="65" t="s">
        <v>293</v>
      </c>
      <c r="C306" s="90">
        <f>VLOOKUP(A306,'Change in Proportion Calc'!$A$5:$P$316,12,FALSE)</f>
        <v>47460</v>
      </c>
      <c r="D306" s="90">
        <f>VLOOKUP(A306,'Change in Proportion Calc'!$A$5:$P$316,13,FALSE)</f>
        <v>47460</v>
      </c>
      <c r="E306" s="90">
        <f>VLOOKUP(A306,'Change in Proportion Calc'!$A$5:$P$316,13,FALSE)</f>
        <v>47460</v>
      </c>
      <c r="F306" s="90">
        <f>VLOOKUP(A306,'Change in Proportion Calc'!$A$5:$P$316,13,FALSE)</f>
        <v>47460</v>
      </c>
      <c r="G306" s="90">
        <f>VLOOKUP(A306,'Change in Proportion Calc'!$A$5:$P$316,16,FALSE)</f>
        <v>46510</v>
      </c>
      <c r="H306" s="255"/>
      <c r="I306" s="280">
        <v>-146664</v>
      </c>
      <c r="J306" s="280">
        <v>-146664</v>
      </c>
      <c r="K306" s="280">
        <v>-146664</v>
      </c>
      <c r="L306" s="280">
        <v>-146664</v>
      </c>
      <c r="M306" s="281">
        <v>-143733</v>
      </c>
      <c r="N306" s="65"/>
      <c r="O306" s="154">
        <v>-60928</v>
      </c>
      <c r="P306" s="154">
        <v>-60928</v>
      </c>
      <c r="Q306" s="154">
        <v>-60928</v>
      </c>
      <c r="R306" s="155">
        <v>-38995</v>
      </c>
      <c r="T306" s="197">
        <v>-304121</v>
      </c>
      <c r="U306" s="197">
        <v>-304121</v>
      </c>
      <c r="V306" s="197">
        <v>-218967</v>
      </c>
      <c r="X306" s="281">
        <f>VLOOKUP(A306,'Change in Proportion Calc'!$A$5:$H$316,8,FALSE)+I306+O306+T306</f>
        <v>-464253</v>
      </c>
      <c r="Z306" s="280">
        <f t="shared" si="12"/>
        <v>236350</v>
      </c>
      <c r="AA306" s="280">
        <f t="shared" si="13"/>
        <v>1267664</v>
      </c>
      <c r="AC306" s="280">
        <f>VLOOKUP(A306,'OPEB Amounts_Report'!$A$10:$F$321,6,FALSE)</f>
        <v>236350</v>
      </c>
      <c r="AD306" s="281">
        <f t="shared" si="14"/>
        <v>0</v>
      </c>
    </row>
    <row r="307" spans="1:30" s="216" customFormat="1">
      <c r="A307" s="254">
        <v>2442</v>
      </c>
      <c r="B307" s="255" t="s">
        <v>451</v>
      </c>
      <c r="C307" s="90">
        <f>VLOOKUP(A307,'Change in Proportion Calc'!$A$5:$P$316,12,FALSE)</f>
        <v>13525</v>
      </c>
      <c r="D307" s="90">
        <f>VLOOKUP(A307,'Change in Proportion Calc'!$A$5:$P$316,13,FALSE)</f>
        <v>13525</v>
      </c>
      <c r="E307" s="90">
        <f>VLOOKUP(A307,'Change in Proportion Calc'!$A$5:$P$316,13,FALSE)</f>
        <v>13525</v>
      </c>
      <c r="F307" s="90">
        <f>VLOOKUP(A307,'Change in Proportion Calc'!$A$5:$P$316,13,FALSE)</f>
        <v>13525</v>
      </c>
      <c r="G307" s="90">
        <f>VLOOKUP(A307,'Change in Proportion Calc'!$A$5:$P$316,16,FALSE)</f>
        <v>13256</v>
      </c>
      <c r="H307" s="255"/>
      <c r="I307" s="280">
        <v>0</v>
      </c>
      <c r="J307" s="280">
        <v>0</v>
      </c>
      <c r="K307" s="280">
        <v>0</v>
      </c>
      <c r="L307" s="280">
        <v>0</v>
      </c>
      <c r="M307" s="280">
        <v>0</v>
      </c>
      <c r="N307" s="255"/>
      <c r="O307" s="280">
        <v>0</v>
      </c>
      <c r="P307" s="280">
        <v>0</v>
      </c>
      <c r="Q307" s="280">
        <v>0</v>
      </c>
      <c r="R307" s="280">
        <v>0</v>
      </c>
      <c r="T307" s="280">
        <v>0</v>
      </c>
      <c r="U307" s="280">
        <v>0</v>
      </c>
      <c r="V307" s="280">
        <v>0</v>
      </c>
      <c r="X307" s="281">
        <f>VLOOKUP(A307,'Change in Proportion Calc'!$A$5:$H$316,8,FALSE)+I307+O307+T307</f>
        <v>13525</v>
      </c>
      <c r="Z307" s="280">
        <f t="shared" si="12"/>
        <v>67356</v>
      </c>
      <c r="AA307" s="280">
        <f t="shared" si="13"/>
        <v>0</v>
      </c>
      <c r="AC307" s="280">
        <f>VLOOKUP(A307,'OPEB Amounts_Report'!$A$10:$F$321,6,FALSE)</f>
        <v>67356</v>
      </c>
      <c r="AD307" s="281">
        <f t="shared" si="14"/>
        <v>0</v>
      </c>
    </row>
    <row r="308" spans="1:30">
      <c r="A308" s="62">
        <v>2417</v>
      </c>
      <c r="B308" s="66" t="s">
        <v>294</v>
      </c>
      <c r="C308" s="90">
        <f>VLOOKUP(A308,'Change in Proportion Calc'!$A$5:$P$316,12,FALSE)</f>
        <v>5507</v>
      </c>
      <c r="D308" s="90">
        <f>VLOOKUP(A308,'Change in Proportion Calc'!$A$5:$P$316,13,FALSE)</f>
        <v>5507</v>
      </c>
      <c r="E308" s="90">
        <f>VLOOKUP(A308,'Change in Proportion Calc'!$A$5:$P$316,13,FALSE)</f>
        <v>5507</v>
      </c>
      <c r="F308" s="90">
        <f>VLOOKUP(A308,'Change in Proportion Calc'!$A$5:$P$316,13,FALSE)</f>
        <v>5507</v>
      </c>
      <c r="G308" s="90">
        <f>VLOOKUP(A308,'Change in Proportion Calc'!$A$5:$P$316,16,FALSE)</f>
        <v>5399</v>
      </c>
      <c r="H308" s="255"/>
      <c r="I308" s="280">
        <v>-2061</v>
      </c>
      <c r="J308" s="280">
        <v>-2061</v>
      </c>
      <c r="K308" s="280">
        <v>-2061</v>
      </c>
      <c r="L308" s="280">
        <v>-2061</v>
      </c>
      <c r="M308" s="281">
        <v>-2019</v>
      </c>
      <c r="N308" s="65"/>
      <c r="O308" s="154">
        <v>8538</v>
      </c>
      <c r="P308" s="154">
        <v>8538</v>
      </c>
      <c r="Q308" s="154">
        <v>8538</v>
      </c>
      <c r="R308" s="155">
        <v>5463</v>
      </c>
      <c r="T308" s="197">
        <v>778</v>
      </c>
      <c r="U308" s="197">
        <v>778</v>
      </c>
      <c r="V308" s="197">
        <v>560</v>
      </c>
      <c r="X308" s="281">
        <f>VLOOKUP(A308,'Change in Proportion Calc'!$A$5:$H$316,8,FALSE)+I308+O308+T308</f>
        <v>12762</v>
      </c>
      <c r="Z308" s="280">
        <f t="shared" si="12"/>
        <v>51304</v>
      </c>
      <c r="AA308" s="280">
        <f t="shared" si="13"/>
        <v>8202</v>
      </c>
      <c r="AC308" s="280">
        <f>VLOOKUP(A308,'OPEB Amounts_Report'!$A$10:$F$321,6,FALSE)</f>
        <v>51304</v>
      </c>
      <c r="AD308" s="281">
        <f t="shared" si="14"/>
        <v>0</v>
      </c>
    </row>
    <row r="309" spans="1:30">
      <c r="A309" s="64">
        <v>13142</v>
      </c>
      <c r="B309" s="65" t="s">
        <v>295</v>
      </c>
      <c r="C309" s="90">
        <f>VLOOKUP(A309,'Change in Proportion Calc'!$A$5:$P$316,12,FALSE)</f>
        <v>-52886</v>
      </c>
      <c r="D309" s="90">
        <f>VLOOKUP(A309,'Change in Proportion Calc'!$A$5:$P$316,13,FALSE)</f>
        <v>-52886</v>
      </c>
      <c r="E309" s="90">
        <f>VLOOKUP(A309,'Change in Proportion Calc'!$A$5:$P$316,13,FALSE)</f>
        <v>-52886</v>
      </c>
      <c r="F309" s="90">
        <f>VLOOKUP(A309,'Change in Proportion Calc'!$A$5:$P$316,13,FALSE)</f>
        <v>-52886</v>
      </c>
      <c r="G309" s="90">
        <f>VLOOKUP(A309,'Change in Proportion Calc'!$A$5:$P$316,16,FALSE)</f>
        <v>-51829</v>
      </c>
      <c r="H309" s="255"/>
      <c r="I309" s="280">
        <v>26448</v>
      </c>
      <c r="J309" s="280">
        <v>26448</v>
      </c>
      <c r="K309" s="280">
        <v>26448</v>
      </c>
      <c r="L309" s="280">
        <v>26448</v>
      </c>
      <c r="M309" s="281">
        <v>25917</v>
      </c>
      <c r="N309" s="65"/>
      <c r="O309" s="154">
        <v>40360</v>
      </c>
      <c r="P309" s="154">
        <v>40360</v>
      </c>
      <c r="Q309" s="154">
        <v>40360</v>
      </c>
      <c r="R309" s="155">
        <v>25831</v>
      </c>
      <c r="T309" s="197">
        <v>-85197</v>
      </c>
      <c r="U309" s="197">
        <v>-85197</v>
      </c>
      <c r="V309" s="197">
        <v>-61340</v>
      </c>
      <c r="X309" s="281">
        <f>VLOOKUP(A309,'Change in Proportion Calc'!$A$5:$H$316,8,FALSE)+I309+O309+T309</f>
        <v>-71275</v>
      </c>
      <c r="Z309" s="280">
        <f t="shared" si="12"/>
        <v>211812</v>
      </c>
      <c r="AA309" s="280">
        <f t="shared" si="13"/>
        <v>409910</v>
      </c>
      <c r="AC309" s="280">
        <f>VLOOKUP(A309,'OPEB Amounts_Report'!$A$10:$F$321,6,FALSE)</f>
        <v>211812</v>
      </c>
      <c r="AD309" s="281">
        <f t="shared" si="14"/>
        <v>0</v>
      </c>
    </row>
    <row r="310" spans="1:30" s="216" customFormat="1">
      <c r="A310" s="64">
        <v>17334</v>
      </c>
      <c r="B310" s="65" t="s">
        <v>453</v>
      </c>
      <c r="C310" s="90">
        <f>VLOOKUP(A310,'Change in Proportion Calc'!$A$5:$P$316,12,FALSE)</f>
        <v>-16846</v>
      </c>
      <c r="D310" s="90">
        <f>VLOOKUP(A310,'Change in Proportion Calc'!$A$5:$P$316,13,FALSE)</f>
        <v>-16846</v>
      </c>
      <c r="E310" s="90">
        <f>VLOOKUP(A310,'Change in Proportion Calc'!$A$5:$P$316,13,FALSE)</f>
        <v>-16846</v>
      </c>
      <c r="F310" s="90">
        <f>VLOOKUP(A310,'Change in Proportion Calc'!$A$5:$P$316,13,FALSE)</f>
        <v>-16846</v>
      </c>
      <c r="G310" s="90">
        <f>VLOOKUP(A310,'Change in Proportion Calc'!$A$5:$P$316,16,FALSE)</f>
        <v>-16508</v>
      </c>
      <c r="H310" s="255"/>
      <c r="I310" s="280">
        <v>-11764</v>
      </c>
      <c r="J310" s="280">
        <v>-11764</v>
      </c>
      <c r="K310" s="280">
        <v>-11764</v>
      </c>
      <c r="L310" s="280">
        <v>-11764</v>
      </c>
      <c r="M310" s="281">
        <v>-11529</v>
      </c>
      <c r="N310" s="65"/>
      <c r="O310" s="154">
        <v>-5142</v>
      </c>
      <c r="P310" s="154">
        <v>-5142</v>
      </c>
      <c r="Q310" s="154">
        <v>-5142</v>
      </c>
      <c r="R310" s="155">
        <v>-3291</v>
      </c>
      <c r="S310" s="142"/>
      <c r="T310" s="197">
        <v>2237</v>
      </c>
      <c r="U310" s="197">
        <v>2237</v>
      </c>
      <c r="V310" s="197">
        <v>1610</v>
      </c>
      <c r="W310" s="142"/>
      <c r="X310" s="281">
        <f>VLOOKUP(A310,'Change in Proportion Calc'!$A$5:$H$316,8,FALSE)+I310+O310+T310</f>
        <v>-31515</v>
      </c>
      <c r="Y310" s="142"/>
      <c r="Z310" s="280">
        <f t="shared" si="12"/>
        <v>3847</v>
      </c>
      <c r="AA310" s="280">
        <f t="shared" si="13"/>
        <v>144288</v>
      </c>
      <c r="AC310" s="280">
        <f>VLOOKUP(A310,'OPEB Amounts_Report'!$A$10:$F$321,6,FALSE)</f>
        <v>3847</v>
      </c>
      <c r="AD310" s="281">
        <f t="shared" si="14"/>
        <v>0</v>
      </c>
    </row>
    <row r="311" spans="1:30">
      <c r="A311" s="62">
        <v>2403</v>
      </c>
      <c r="B311" s="66" t="s">
        <v>415</v>
      </c>
      <c r="C311" s="280">
        <v>0</v>
      </c>
      <c r="D311" s="280">
        <v>0</v>
      </c>
      <c r="E311" s="280">
        <v>0</v>
      </c>
      <c r="F311" s="280">
        <v>0</v>
      </c>
      <c r="G311" s="281">
        <v>0</v>
      </c>
      <c r="H311" s="255"/>
      <c r="I311" s="280">
        <v>0</v>
      </c>
      <c r="J311" s="280">
        <v>0</v>
      </c>
      <c r="K311" s="280">
        <v>0</v>
      </c>
      <c r="L311" s="280">
        <v>0</v>
      </c>
      <c r="M311" s="281">
        <v>0</v>
      </c>
      <c r="N311" s="65"/>
      <c r="O311" s="154">
        <v>-73444</v>
      </c>
      <c r="P311" s="154">
        <v>-73444</v>
      </c>
      <c r="Q311" s="154">
        <v>-73444</v>
      </c>
      <c r="R311" s="155">
        <v>-47002</v>
      </c>
      <c r="T311" s="197">
        <v>73623</v>
      </c>
      <c r="U311" s="197">
        <v>73623</v>
      </c>
      <c r="V311" s="197">
        <v>53009</v>
      </c>
      <c r="X311" s="281">
        <f>VLOOKUP(A311,'Change in Proportion Calc'!$A$5:$H$316,8,FALSE)+I311+O311+T311</f>
        <v>179</v>
      </c>
      <c r="Z311" s="280">
        <f t="shared" si="12"/>
        <v>126632</v>
      </c>
      <c r="AA311" s="280">
        <f t="shared" si="13"/>
        <v>193890</v>
      </c>
      <c r="AC311" s="280">
        <f>VLOOKUP(A311,'OPEB Amounts_Report'!$A$10:$F$321,6,FALSE)</f>
        <v>126632</v>
      </c>
      <c r="AD311" s="281">
        <f t="shared" si="14"/>
        <v>0</v>
      </c>
    </row>
    <row r="312" spans="1:30">
      <c r="A312" s="64">
        <v>16358</v>
      </c>
      <c r="B312" s="65" t="s">
        <v>416</v>
      </c>
      <c r="C312" s="280">
        <v>0</v>
      </c>
      <c r="D312" s="280">
        <v>0</v>
      </c>
      <c r="E312" s="280">
        <v>0</v>
      </c>
      <c r="F312" s="280">
        <v>0</v>
      </c>
      <c r="G312" s="281">
        <v>0</v>
      </c>
      <c r="H312" s="255"/>
      <c r="I312" s="280">
        <v>0</v>
      </c>
      <c r="J312" s="280">
        <v>0</v>
      </c>
      <c r="K312" s="280">
        <v>0</v>
      </c>
      <c r="L312" s="280">
        <v>0</v>
      </c>
      <c r="M312" s="281">
        <v>0</v>
      </c>
      <c r="N312" s="65"/>
      <c r="O312" s="154">
        <v>-189188</v>
      </c>
      <c r="P312" s="154">
        <v>-189188</v>
      </c>
      <c r="Q312" s="154">
        <v>-189188</v>
      </c>
      <c r="R312" s="155">
        <v>-121078</v>
      </c>
      <c r="T312" s="197">
        <v>1459</v>
      </c>
      <c r="U312" s="197">
        <v>1459</v>
      </c>
      <c r="V312" s="197">
        <v>1050</v>
      </c>
      <c r="X312" s="281">
        <f>VLOOKUP(A312,'Change in Proportion Calc'!$A$5:$H$316,8,FALSE)+I312+O312+T312</f>
        <v>-187729</v>
      </c>
      <c r="Z312" s="280">
        <f t="shared" si="12"/>
        <v>2509</v>
      </c>
      <c r="AA312" s="280">
        <f t="shared" si="13"/>
        <v>499454</v>
      </c>
      <c r="AC312" s="280">
        <f>VLOOKUP(A312,'OPEB Amounts_Report'!$A$10:$F$321,6,FALSE)</f>
        <v>2509</v>
      </c>
      <c r="AD312" s="281">
        <f t="shared" si="14"/>
        <v>0</v>
      </c>
    </row>
    <row r="313" spans="1:30">
      <c r="A313" s="62">
        <v>2357</v>
      </c>
      <c r="B313" s="66" t="s">
        <v>417</v>
      </c>
      <c r="C313" s="280">
        <v>0</v>
      </c>
      <c r="D313" s="280">
        <v>0</v>
      </c>
      <c r="E313" s="280">
        <v>0</v>
      </c>
      <c r="F313" s="280">
        <v>0</v>
      </c>
      <c r="G313" s="281">
        <v>0</v>
      </c>
      <c r="H313" s="255"/>
      <c r="I313" s="280">
        <v>0</v>
      </c>
      <c r="J313" s="280">
        <v>0</v>
      </c>
      <c r="K313" s="280">
        <v>0</v>
      </c>
      <c r="L313" s="280">
        <v>0</v>
      </c>
      <c r="M313" s="281">
        <v>0</v>
      </c>
      <c r="N313" s="65"/>
      <c r="O313" s="154">
        <v>-88191</v>
      </c>
      <c r="P313" s="154">
        <v>-88191</v>
      </c>
      <c r="Q313" s="154">
        <v>-88191</v>
      </c>
      <c r="R313" s="155">
        <v>-56440</v>
      </c>
      <c r="T313" s="197">
        <v>-12935</v>
      </c>
      <c r="U313" s="197">
        <v>-12935</v>
      </c>
      <c r="V313" s="197">
        <v>-9314</v>
      </c>
      <c r="X313" s="281">
        <f>VLOOKUP(A313,'Change in Proportion Calc'!$A$5:$H$316,8,FALSE)+I313+O313+T313</f>
        <v>-101126</v>
      </c>
      <c r="Z313" s="280">
        <f t="shared" si="12"/>
        <v>0</v>
      </c>
      <c r="AA313" s="280">
        <f t="shared" si="13"/>
        <v>255071</v>
      </c>
      <c r="AC313" s="280">
        <f>VLOOKUP(A313,'OPEB Amounts_Report'!$A$10:$F$321,6,FALSE)</f>
        <v>0</v>
      </c>
      <c r="AD313" s="281">
        <f t="shared" si="14"/>
        <v>0</v>
      </c>
    </row>
    <row r="314" spans="1:30">
      <c r="A314" s="64">
        <v>16357</v>
      </c>
      <c r="B314" s="65" t="s">
        <v>418</v>
      </c>
      <c r="C314" s="280">
        <v>0</v>
      </c>
      <c r="D314" s="280">
        <v>0</v>
      </c>
      <c r="E314" s="280">
        <v>0</v>
      </c>
      <c r="F314" s="280">
        <v>0</v>
      </c>
      <c r="G314" s="281">
        <v>0</v>
      </c>
      <c r="H314" s="255"/>
      <c r="I314" s="280">
        <v>0</v>
      </c>
      <c r="J314" s="280">
        <v>0</v>
      </c>
      <c r="K314" s="280">
        <v>0</v>
      </c>
      <c r="L314" s="280">
        <v>0</v>
      </c>
      <c r="M314" s="281">
        <v>0</v>
      </c>
      <c r="N314" s="65"/>
      <c r="O314" s="154">
        <v>-116811</v>
      </c>
      <c r="P314" s="154">
        <v>-116811</v>
      </c>
      <c r="Q314" s="154">
        <v>-116811</v>
      </c>
      <c r="R314" s="155">
        <v>-74761</v>
      </c>
      <c r="T314" s="197">
        <v>-60493</v>
      </c>
      <c r="U314" s="197">
        <v>-60493</v>
      </c>
      <c r="V314" s="197">
        <v>-43557</v>
      </c>
      <c r="X314" s="281">
        <f>VLOOKUP(A314,'Change in Proportion Calc'!$A$5:$H$316,8,FALSE)+I314+O314+T314</f>
        <v>-177304</v>
      </c>
      <c r="Z314" s="280">
        <f t="shared" si="12"/>
        <v>0</v>
      </c>
      <c r="AA314" s="280">
        <f t="shared" si="13"/>
        <v>412433</v>
      </c>
      <c r="AC314" s="280">
        <f>VLOOKUP(A314,'OPEB Amounts_Report'!$A$10:$F$321,6,FALSE)</f>
        <v>0</v>
      </c>
      <c r="AD314" s="281">
        <f t="shared" si="14"/>
        <v>0</v>
      </c>
    </row>
    <row r="315" spans="1:30">
      <c r="A315" s="62">
        <v>7339</v>
      </c>
      <c r="B315" s="66" t="s">
        <v>419</v>
      </c>
      <c r="C315" s="280">
        <v>0</v>
      </c>
      <c r="D315" s="280">
        <v>0</v>
      </c>
      <c r="E315" s="280">
        <v>0</v>
      </c>
      <c r="F315" s="280">
        <v>0</v>
      </c>
      <c r="G315" s="281">
        <v>0</v>
      </c>
      <c r="H315" s="255"/>
      <c r="I315" s="280">
        <v>0</v>
      </c>
      <c r="J315" s="280">
        <v>0</v>
      </c>
      <c r="K315" s="280">
        <v>0</v>
      </c>
      <c r="L315" s="280">
        <v>0</v>
      </c>
      <c r="M315" s="281">
        <v>0</v>
      </c>
      <c r="N315" s="65"/>
      <c r="O315" s="154">
        <v>-117781</v>
      </c>
      <c r="P315" s="154">
        <v>-117781</v>
      </c>
      <c r="Q315" s="154">
        <v>-117781</v>
      </c>
      <c r="R315" s="155">
        <v>-75382</v>
      </c>
      <c r="T315" s="197">
        <v>-8461</v>
      </c>
      <c r="U315" s="197">
        <v>-8461</v>
      </c>
      <c r="V315" s="197">
        <v>-6094</v>
      </c>
      <c r="X315" s="281">
        <f>VLOOKUP(A315,'Change in Proportion Calc'!$A$5:$H$316,8,FALSE)+I315+O315+T315</f>
        <v>-126242</v>
      </c>
      <c r="Z315" s="280">
        <f t="shared" si="12"/>
        <v>0</v>
      </c>
      <c r="AA315" s="280">
        <f t="shared" si="13"/>
        <v>325499</v>
      </c>
      <c r="AC315" s="280">
        <f>VLOOKUP(A315,'OPEB Amounts_Report'!$A$10:$F$321,6,FALSE)</f>
        <v>0</v>
      </c>
      <c r="AD315" s="281">
        <f t="shared" si="14"/>
        <v>0</v>
      </c>
    </row>
    <row r="316" spans="1:30">
      <c r="A316" s="64">
        <v>2344</v>
      </c>
      <c r="B316" s="65" t="s">
        <v>408</v>
      </c>
      <c r="C316" s="280">
        <v>0</v>
      </c>
      <c r="D316" s="280">
        <v>0</v>
      </c>
      <c r="E316" s="280">
        <v>0</v>
      </c>
      <c r="F316" s="280">
        <v>0</v>
      </c>
      <c r="G316" s="281">
        <v>0</v>
      </c>
      <c r="H316" s="255"/>
      <c r="I316" s="280">
        <v>0</v>
      </c>
      <c r="J316" s="280">
        <v>0</v>
      </c>
      <c r="K316" s="280">
        <v>0</v>
      </c>
      <c r="L316" s="280">
        <v>0</v>
      </c>
      <c r="M316" s="281">
        <v>0</v>
      </c>
      <c r="N316" s="65"/>
      <c r="O316" s="154">
        <v>-183367</v>
      </c>
      <c r="P316" s="154">
        <v>-183367</v>
      </c>
      <c r="Q316" s="154">
        <v>-183367</v>
      </c>
      <c r="R316" s="155">
        <v>-117353</v>
      </c>
      <c r="T316" s="197">
        <v>-23828</v>
      </c>
      <c r="U316" s="197">
        <v>-23828</v>
      </c>
      <c r="V316" s="197">
        <v>-17155</v>
      </c>
      <c r="X316" s="281">
        <f>VLOOKUP(A316,'Change in Proportion Calc'!$A$5:$H$316,8,FALSE)+I316+O316+T316</f>
        <v>-207195</v>
      </c>
      <c r="Z316" s="280">
        <f t="shared" si="12"/>
        <v>0</v>
      </c>
      <c r="AA316" s="280">
        <f t="shared" si="13"/>
        <v>525070</v>
      </c>
      <c r="AC316" s="280">
        <f>VLOOKUP(A316,'OPEB Amounts_Report'!$A$10:$F$321,6,FALSE)</f>
        <v>0</v>
      </c>
      <c r="AD316" s="281">
        <f t="shared" si="14"/>
        <v>0</v>
      </c>
    </row>
    <row r="317" spans="1:30">
      <c r="A317" s="62">
        <v>2418</v>
      </c>
      <c r="B317" s="66" t="s">
        <v>420</v>
      </c>
      <c r="C317" s="280">
        <v>0</v>
      </c>
      <c r="D317" s="280">
        <v>0</v>
      </c>
      <c r="E317" s="280">
        <v>0</v>
      </c>
      <c r="F317" s="280">
        <v>0</v>
      </c>
      <c r="G317" s="281">
        <v>0</v>
      </c>
      <c r="H317" s="255"/>
      <c r="I317" s="280">
        <v>0</v>
      </c>
      <c r="J317" s="280">
        <v>0</v>
      </c>
      <c r="K317" s="280">
        <v>0</v>
      </c>
      <c r="L317" s="280">
        <v>0</v>
      </c>
      <c r="M317" s="281">
        <v>0</v>
      </c>
      <c r="N317" s="65"/>
      <c r="O317" s="154">
        <v>0</v>
      </c>
      <c r="P317" s="154">
        <v>0</v>
      </c>
      <c r="Q317" s="154">
        <v>0</v>
      </c>
      <c r="R317" s="155">
        <v>0</v>
      </c>
      <c r="T317" s="197">
        <v>-126433</v>
      </c>
      <c r="U317" s="197">
        <v>-126433</v>
      </c>
      <c r="V317" s="197">
        <v>-91034</v>
      </c>
      <c r="X317" s="281">
        <f>VLOOKUP(A317,'Change in Proportion Calc'!$A$5:$H$316,8,FALSE)+I317+O317+T317</f>
        <v>-126433</v>
      </c>
      <c r="Z317" s="280">
        <f t="shared" si="12"/>
        <v>0</v>
      </c>
      <c r="AA317" s="280">
        <f t="shared" si="13"/>
        <v>217467</v>
      </c>
      <c r="AC317" s="280">
        <f>VLOOKUP(A317,'OPEB Amounts_Report'!$A$10:$F$321,6,FALSE)</f>
        <v>0</v>
      </c>
      <c r="AD317" s="281">
        <f t="shared" si="14"/>
        <v>0</v>
      </c>
    </row>
    <row r="318" spans="1:30">
      <c r="A318" s="64">
        <v>2345</v>
      </c>
      <c r="B318" s="65" t="s">
        <v>421</v>
      </c>
      <c r="C318" s="280">
        <v>0</v>
      </c>
      <c r="D318" s="280">
        <v>0</v>
      </c>
      <c r="E318" s="280">
        <v>0</v>
      </c>
      <c r="F318" s="280">
        <v>0</v>
      </c>
      <c r="G318" s="281">
        <v>0</v>
      </c>
      <c r="H318" s="255"/>
      <c r="I318" s="280">
        <v>0</v>
      </c>
      <c r="J318" s="280">
        <v>0</v>
      </c>
      <c r="K318" s="280">
        <v>0</v>
      </c>
      <c r="L318" s="280">
        <v>0</v>
      </c>
      <c r="M318" s="281">
        <v>0</v>
      </c>
      <c r="N318" s="65"/>
      <c r="O318" s="154">
        <v>0</v>
      </c>
      <c r="P318" s="154">
        <v>0</v>
      </c>
      <c r="Q318" s="154">
        <v>0</v>
      </c>
      <c r="R318" s="155">
        <v>0</v>
      </c>
      <c r="T318" s="197">
        <v>-108636</v>
      </c>
      <c r="U318" s="197">
        <v>-108636</v>
      </c>
      <c r="V318" s="197">
        <v>-78216</v>
      </c>
      <c r="X318" s="281">
        <f>VLOOKUP(A318,'Change in Proportion Calc'!$A$5:$H$316,8,FALSE)+I318+O318+T318</f>
        <v>-108636</v>
      </c>
      <c r="Z318" s="280">
        <f t="shared" si="12"/>
        <v>0</v>
      </c>
      <c r="AA318" s="280">
        <f t="shared" si="13"/>
        <v>186852</v>
      </c>
      <c r="AC318" s="280">
        <f>VLOOKUP(A318,'OPEB Amounts_Report'!$A$10:$F$321,6,FALSE)</f>
        <v>0</v>
      </c>
      <c r="AD318" s="281">
        <f t="shared" si="14"/>
        <v>0</v>
      </c>
    </row>
    <row r="319" spans="1:30">
      <c r="A319" s="62">
        <v>13430</v>
      </c>
      <c r="B319" s="66" t="s">
        <v>422</v>
      </c>
      <c r="C319" s="280">
        <v>0</v>
      </c>
      <c r="D319" s="280">
        <v>0</v>
      </c>
      <c r="E319" s="280">
        <v>0</v>
      </c>
      <c r="F319" s="280">
        <v>0</v>
      </c>
      <c r="G319" s="281">
        <v>0</v>
      </c>
      <c r="H319" s="255"/>
      <c r="I319" s="280">
        <v>0</v>
      </c>
      <c r="J319" s="280">
        <v>0</v>
      </c>
      <c r="K319" s="280">
        <v>0</v>
      </c>
      <c r="L319" s="280">
        <v>0</v>
      </c>
      <c r="M319" s="281">
        <v>0</v>
      </c>
      <c r="N319" s="65"/>
      <c r="O319" s="154">
        <v>0</v>
      </c>
      <c r="P319" s="154">
        <v>0</v>
      </c>
      <c r="Q319" s="154">
        <v>0</v>
      </c>
      <c r="R319" s="155">
        <v>0</v>
      </c>
      <c r="T319" s="197">
        <v>-188678</v>
      </c>
      <c r="U319" s="197">
        <v>-188678</v>
      </c>
      <c r="V319" s="197">
        <v>-135846</v>
      </c>
      <c r="X319" s="281">
        <f>VLOOKUP(A319,'Change in Proportion Calc'!$A$5:$H$316,8,FALSE)+I319+O319+T319</f>
        <v>-188678</v>
      </c>
      <c r="Z319" s="280">
        <f t="shared" si="12"/>
        <v>0</v>
      </c>
      <c r="AA319" s="280">
        <f t="shared" si="13"/>
        <v>324524</v>
      </c>
      <c r="AC319" s="280">
        <f>VLOOKUP(A319,'OPEB Amounts_Report'!$A$10:$F$321,6,FALSE)</f>
        <v>0</v>
      </c>
      <c r="AD319" s="281">
        <f t="shared" si="14"/>
        <v>0</v>
      </c>
    </row>
    <row r="320" spans="1:30">
      <c r="A320" s="24"/>
      <c r="B320" s="25"/>
      <c r="C320" s="230"/>
      <c r="D320" s="230"/>
      <c r="E320" s="230"/>
      <c r="F320" s="230"/>
      <c r="G320" s="230"/>
      <c r="H320" s="230"/>
      <c r="N320" s="191"/>
    </row>
    <row r="321" spans="1:27" ht="13.5" thickBot="1">
      <c r="A321" s="24"/>
      <c r="B321" s="27"/>
      <c r="C321" s="149">
        <f>SUM(C8:C320)</f>
        <v>0</v>
      </c>
      <c r="D321" s="149">
        <f>SUM(D8:D320)</f>
        <v>0</v>
      </c>
      <c r="E321" s="149">
        <f>SUM(E8:E320)</f>
        <v>0</v>
      </c>
      <c r="F321" s="149">
        <f>SUM(F8:F320)</f>
        <v>0</v>
      </c>
      <c r="G321" s="149">
        <f>SUM(G8:G320)</f>
        <v>0</v>
      </c>
      <c r="H321" s="233"/>
      <c r="I321" s="149">
        <f>SUM(I8:I320)</f>
        <v>0</v>
      </c>
      <c r="J321" s="149">
        <f>SUM(J8:J320)</f>
        <v>0</v>
      </c>
      <c r="K321" s="149">
        <f>SUM(K8:K320)</f>
        <v>0</v>
      </c>
      <c r="L321" s="149">
        <f>SUM(L8:L320)</f>
        <v>0</v>
      </c>
      <c r="M321" s="149">
        <f>SUM(M8:M320)</f>
        <v>0</v>
      </c>
      <c r="N321" s="27"/>
      <c r="O321" s="149">
        <f>SUM(O8:O320)</f>
        <v>0</v>
      </c>
      <c r="P321" s="149">
        <f>SUM(P8:P320)</f>
        <v>0</v>
      </c>
      <c r="Q321" s="149">
        <f>SUM(Q8:Q320)</f>
        <v>0</v>
      </c>
      <c r="R321" s="149">
        <f>SUM(R8:R320)</f>
        <v>0</v>
      </c>
      <c r="T321" s="149">
        <f>SUM(T8:T320)</f>
        <v>0</v>
      </c>
      <c r="U321" s="149">
        <f>SUM(U8:U320)</f>
        <v>0</v>
      </c>
      <c r="V321" s="149">
        <f>SUM(V8:V320)</f>
        <v>0</v>
      </c>
      <c r="X321" s="149">
        <f>SUM(X8:X320)</f>
        <v>0</v>
      </c>
      <c r="Z321" s="179">
        <f>SUM(Z8:Z320)</f>
        <v>186315833</v>
      </c>
      <c r="AA321" s="179">
        <f>SUM(AA8:AA320)</f>
        <v>186315833</v>
      </c>
    </row>
    <row r="322" spans="1:27" ht="13.5" thickTop="1">
      <c r="A322" s="24"/>
      <c r="B322" s="27"/>
      <c r="C322" s="233"/>
      <c r="D322" s="233"/>
      <c r="E322" s="233"/>
      <c r="F322" s="233"/>
      <c r="G322" s="233"/>
      <c r="H322" s="233"/>
      <c r="I322" s="27"/>
      <c r="J322" s="27"/>
      <c r="K322" s="27"/>
      <c r="L322" s="27"/>
      <c r="M322" s="27"/>
      <c r="N322" s="27"/>
    </row>
    <row r="323" spans="1:27">
      <c r="A323" s="24"/>
      <c r="B323" s="27"/>
      <c r="C323" s="233"/>
      <c r="D323" s="233"/>
      <c r="E323" s="233"/>
      <c r="F323" s="233"/>
      <c r="G323" s="233"/>
      <c r="H323" s="233"/>
      <c r="I323" s="27"/>
      <c r="J323" s="27"/>
      <c r="K323" s="27"/>
      <c r="L323" s="27"/>
      <c r="M323" s="27"/>
      <c r="N323" s="27"/>
    </row>
    <row r="324" spans="1:27">
      <c r="A324" s="24"/>
      <c r="B324" s="27"/>
      <c r="C324" s="233"/>
      <c r="D324" s="233"/>
      <c r="E324" s="233"/>
      <c r="F324" s="233"/>
      <c r="G324" s="233"/>
      <c r="H324" s="233"/>
      <c r="I324" s="27"/>
      <c r="J324" s="27"/>
      <c r="K324" s="27"/>
      <c r="L324" s="27"/>
      <c r="M324" s="27"/>
      <c r="N324" s="27"/>
    </row>
    <row r="325" spans="1:27">
      <c r="A325" s="24"/>
      <c r="B325" s="27"/>
      <c r="C325" s="233"/>
      <c r="D325" s="233"/>
      <c r="E325" s="233"/>
      <c r="F325" s="233"/>
      <c r="G325" s="233"/>
      <c r="H325" s="233"/>
      <c r="I325" s="27"/>
      <c r="J325" s="27"/>
      <c r="K325" s="27"/>
      <c r="L325" s="27"/>
      <c r="M325" s="27"/>
      <c r="N325" s="27"/>
    </row>
    <row r="326" spans="1:27">
      <c r="A326" s="24"/>
      <c r="B326" s="27"/>
      <c r="C326" s="233"/>
      <c r="D326" s="233"/>
      <c r="E326" s="233"/>
      <c r="F326" s="233"/>
      <c r="G326" s="233"/>
      <c r="H326" s="233"/>
      <c r="I326" s="27"/>
      <c r="J326" s="27"/>
      <c r="K326" s="27"/>
      <c r="L326" s="27"/>
      <c r="M326" s="27"/>
      <c r="N326" s="27"/>
    </row>
    <row r="327" spans="1:27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43"/>
    </row>
  </sheetData>
  <mergeCells count="9">
    <mergeCell ref="C2:G2"/>
    <mergeCell ref="C3:G3"/>
    <mergeCell ref="Z3:AA3"/>
    <mergeCell ref="I2:M2"/>
    <mergeCell ref="I3:M3"/>
    <mergeCell ref="O3:R3"/>
    <mergeCell ref="O2:R2"/>
    <mergeCell ref="T2:V2"/>
    <mergeCell ref="T3:V3"/>
  </mergeCells>
  <pageMargins left="0.7" right="0.7" top="0.75" bottom="0.75" header="0.3" footer="0.75"/>
  <pageSetup scale="24" firstPageNumber="3" fitToHeight="0" orientation="portrait" useFirstPageNumber="1" r:id="rId1"/>
  <headerFooter differentOddEven="1">
    <oddHeader xml:space="preserve">&amp;L&amp;"Arial,Bold"&amp;14New Mexico Retiree Health Care Authority&amp;"Arial,Regular"&amp;18
&amp;"Arial,Bold"&amp;12Schedule of Employer Allocations
As of and for the Year Ended June 30, 2017
</oddHeader>
    <oddFooter>&amp;R&amp;"Arial,Regular"&amp;10&amp;P</oddFooter>
    <evenHeader xml:space="preserve">&amp;L&amp;"Arial,Bold"&amp;14New Mexico Retiree Health Care Authority&amp;"-,Regular"&amp;11
&amp;"Arial,Bold"&amp;12Schedule of Employer Allocations
As of and for the Year Ended June 30, 2017
</evenHeader>
    <evenFooter>&amp;R&amp;"Arial,Regular"&amp;10&amp;P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Employer Template</vt:lpstr>
      <vt:lpstr>PY_OPEB Amounts</vt:lpstr>
      <vt:lpstr>Contribution Allocation_Report</vt:lpstr>
      <vt:lpstr>OPEB Amounts_Report</vt:lpstr>
      <vt:lpstr>Amortization Tables_Report</vt:lpstr>
      <vt:lpstr>Discount Rate Sensitivity</vt:lpstr>
      <vt:lpstr>Trend Rate Sensitivity</vt:lpstr>
      <vt:lpstr>Change in Proportion Layers</vt:lpstr>
      <vt:lpstr>Change in Proportion Calc</vt:lpstr>
      <vt:lpstr>Contributions_20</vt:lpstr>
      <vt:lpstr>Note 3a</vt:lpstr>
      <vt:lpstr>Notes 3b</vt:lpstr>
      <vt:lpstr>Notes 3c</vt:lpstr>
      <vt:lpstr>Note 3d</vt:lpstr>
      <vt:lpstr>Note 5</vt:lpstr>
      <vt:lpstr>Note 5a</vt:lpstr>
      <vt:lpstr>'Amortization Tables_Report'!Print_Area</vt:lpstr>
      <vt:lpstr>'Change in Proportion Calc'!Print_Area</vt:lpstr>
      <vt:lpstr>'Change in Proportion Layers'!Print_Area</vt:lpstr>
      <vt:lpstr>'Contribution Allocation_Report'!Print_Area</vt:lpstr>
      <vt:lpstr>Contributions_20!Print_Area</vt:lpstr>
      <vt:lpstr>'Discount Rate Sensitivity'!Print_Area</vt:lpstr>
      <vt:lpstr>'OPEB Amounts_Report'!Print_Area</vt:lpstr>
      <vt:lpstr>'Trend Rate Sensitivity'!Print_Area</vt:lpstr>
      <vt:lpstr>'Amortization Tables_Report'!Print_Titles</vt:lpstr>
      <vt:lpstr>'Contribution Allocation_Report'!Print_Titles</vt:lpstr>
      <vt:lpstr>Contributions_20!Print_Titles</vt:lpstr>
      <vt:lpstr>'Discount Rate Sensitivity'!Print_Titles</vt:lpstr>
      <vt:lpstr>'OPEB Amounts_Report'!Print_Titles</vt:lpstr>
      <vt:lpstr>'Trend Rate Sensitivity'!Print_Titles</vt:lpstr>
    </vt:vector>
  </TitlesOfParts>
  <Company>The Segal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Kirby, Mary</dc:creator>
  <cp:lastModifiedBy>Aaron Hamilton</cp:lastModifiedBy>
  <cp:lastPrinted>2022-06-06T17:19:33Z</cp:lastPrinted>
  <dcterms:created xsi:type="dcterms:W3CDTF">2018-04-03T19:34:07Z</dcterms:created>
  <dcterms:modified xsi:type="dcterms:W3CDTF">2022-06-27T18:03:21Z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sion">
    <vt:i4>20</vt:i4>
  </op:property>
  <op:property fmtid="{D5CDD505-2E9C-101B-9397-08002B2CF9AE}" pid="3" name="tabName">
    <vt:lpwstr>User Guide (Non Attest)</vt:lpwstr>
  </op:property>
  <op:property fmtid="{D5CDD505-2E9C-101B-9397-08002B2CF9AE}" pid="4" name="tabIndex">
    <vt:lpwstr>A-105</vt:lpwstr>
  </op:property>
  <op:property fmtid="{D5CDD505-2E9C-101B-9397-08002B2CF9AE}" pid="5" name="workpaperIndex">
    <vt:lpwstr>A-105</vt:lpwstr>
  </op:property>
</op:Properties>
</file>